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79.97.96.73\clico\05. Controle atas registro de preços\"/>
    </mc:Choice>
  </mc:AlternateContent>
  <xr:revisionPtr revIDLastSave="0" documentId="13_ncr:1_{F7DA3BC0-C4E0-4EE4-91CC-E9307E67E934}" xr6:coauthVersionLast="47" xr6:coauthVersionMax="47" xr10:uidLastSave="{00000000-0000-0000-0000-000000000000}"/>
  <bookViews>
    <workbookView xWindow="-120" yWindow="-120" windowWidth="29040" windowHeight="15720" tabRatio="585" firstSheet="2" activeTab="2" xr2:uid="{00000000-000D-0000-FFFF-FFFF00000000}"/>
  </bookViews>
  <sheets>
    <sheet name="REITORIA_SEMS" sheetId="113" state="hidden" r:id="rId1"/>
    <sheet name="REITORIA_MUSEU" sheetId="123" state="hidden" r:id="rId2"/>
    <sheet name="CESFI" sheetId="124" r:id="rId3"/>
    <sheet name="CEAD" sheetId="125" state="hidden" r:id="rId4"/>
    <sheet name="FAED" sheetId="126" state="hidden" r:id="rId5"/>
    <sheet name="CERES" sheetId="127" state="hidden" r:id="rId6"/>
    <sheet name="CEFID" sheetId="128" state="hidden" r:id="rId7"/>
    <sheet name="CEAVI" sheetId="129" state="hidden" r:id="rId8"/>
    <sheet name="ESAG" sheetId="130" state="hidden" r:id="rId9"/>
    <sheet name="CEART" sheetId="131" state="hidden" r:id="rId10"/>
    <sheet name="GESTOR" sheetId="91" state="hidden" r:id="rId11"/>
  </sheets>
  <definedNames>
    <definedName name="diasuteis" localSheetId="10">#REF!</definedName>
    <definedName name="diasuteis">#REF!</definedName>
    <definedName name="Ferias" localSheetId="10">#REF!</definedName>
    <definedName name="Ferias">#REF!</definedName>
    <definedName name="RD" localSheetId="10">OFFSET(#REF!,(MATCH(SMALL(#REF!,ROW()-10),#REF!,0)-1),0)</definedName>
    <definedName name="RD">OFFSET(#REF!,(MATCH(SMALL(#REF!,ROW()-10),#REF!,0)-1),0)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91" l="1"/>
  <c r="J27" i="91"/>
  <c r="H5" i="91"/>
  <c r="H6" i="91"/>
  <c r="H7" i="91"/>
  <c r="H8" i="91"/>
  <c r="H9" i="91"/>
  <c r="H10" i="91"/>
  <c r="H11" i="91"/>
  <c r="H12" i="91"/>
  <c r="H13" i="91"/>
  <c r="H14" i="91"/>
  <c r="H15" i="91"/>
  <c r="H17" i="91"/>
  <c r="H18" i="91"/>
  <c r="H19" i="91"/>
  <c r="H20" i="91"/>
  <c r="H21" i="91"/>
  <c r="H22" i="91"/>
  <c r="H23" i="91"/>
  <c r="H24" i="91"/>
  <c r="H25" i="91"/>
  <c r="H26" i="91"/>
  <c r="G5" i="91"/>
  <c r="G6" i="91"/>
  <c r="G7" i="91"/>
  <c r="G8" i="91"/>
  <c r="G9" i="91"/>
  <c r="G10" i="91"/>
  <c r="G11" i="91"/>
  <c r="G12" i="91"/>
  <c r="G13" i="91"/>
  <c r="G14" i="91"/>
  <c r="G15" i="91"/>
  <c r="G16" i="91"/>
  <c r="G17" i="91"/>
  <c r="G18" i="91"/>
  <c r="G19" i="91"/>
  <c r="G20" i="91"/>
  <c r="G21" i="91"/>
  <c r="G22" i="91"/>
  <c r="G23" i="91"/>
  <c r="G24" i="91"/>
  <c r="G25" i="91"/>
  <c r="G26" i="91"/>
  <c r="G4" i="91"/>
  <c r="K26" i="131" l="1"/>
  <c r="L26" i="131" s="1"/>
  <c r="M26" i="131" s="1"/>
  <c r="K25" i="131"/>
  <c r="L25" i="131" s="1"/>
  <c r="M25" i="131" s="1"/>
  <c r="K24" i="131"/>
  <c r="L24" i="131" s="1"/>
  <c r="M24" i="131" s="1"/>
  <c r="K23" i="131"/>
  <c r="L23" i="131" s="1"/>
  <c r="M23" i="131" s="1"/>
  <c r="K22" i="131"/>
  <c r="L22" i="131" s="1"/>
  <c r="M22" i="131" s="1"/>
  <c r="K21" i="131"/>
  <c r="L21" i="131" s="1"/>
  <c r="M21" i="131" s="1"/>
  <c r="K20" i="131"/>
  <c r="L20" i="131" s="1"/>
  <c r="M20" i="131" s="1"/>
  <c r="K19" i="131"/>
  <c r="L19" i="131" s="1"/>
  <c r="M19" i="131" s="1"/>
  <c r="K18" i="131"/>
  <c r="L18" i="131" s="1"/>
  <c r="M18" i="131" s="1"/>
  <c r="K17" i="131"/>
  <c r="L17" i="131" s="1"/>
  <c r="M17" i="131" s="1"/>
  <c r="K16" i="131"/>
  <c r="L16" i="131" s="1"/>
  <c r="M16" i="131" s="1"/>
  <c r="K15" i="131"/>
  <c r="L15" i="131" s="1"/>
  <c r="M15" i="131" s="1"/>
  <c r="K14" i="131"/>
  <c r="L14" i="131" s="1"/>
  <c r="M14" i="131" s="1"/>
  <c r="K13" i="131"/>
  <c r="L13" i="131" s="1"/>
  <c r="M13" i="131" s="1"/>
  <c r="K12" i="131"/>
  <c r="L12" i="131" s="1"/>
  <c r="M12" i="131" s="1"/>
  <c r="K11" i="131"/>
  <c r="K10" i="131"/>
  <c r="L10" i="131" s="1"/>
  <c r="M10" i="131" s="1"/>
  <c r="K9" i="131"/>
  <c r="K8" i="131"/>
  <c r="L8" i="131" s="1"/>
  <c r="M8" i="131" s="1"/>
  <c r="K7" i="131"/>
  <c r="L7" i="131" s="1"/>
  <c r="M7" i="131" s="1"/>
  <c r="K6" i="131"/>
  <c r="L6" i="131" s="1"/>
  <c r="M6" i="131" s="1"/>
  <c r="K5" i="131"/>
  <c r="L5" i="131" s="1"/>
  <c r="M5" i="131" s="1"/>
  <c r="K4" i="131"/>
  <c r="L4" i="131" s="1"/>
  <c r="AE27" i="131"/>
  <c r="AD27" i="131"/>
  <c r="AC27" i="131"/>
  <c r="AB27" i="131"/>
  <c r="AA27" i="131"/>
  <c r="Z27" i="131"/>
  <c r="Y27" i="131"/>
  <c r="X27" i="131"/>
  <c r="W27" i="131"/>
  <c r="V27" i="131"/>
  <c r="U27" i="131"/>
  <c r="T27" i="131"/>
  <c r="S27" i="131"/>
  <c r="R27" i="131"/>
  <c r="Q27" i="131"/>
  <c r="P27" i="131"/>
  <c r="O27" i="131"/>
  <c r="N27" i="131"/>
  <c r="L9" i="131"/>
  <c r="M9" i="131" s="1"/>
  <c r="K26" i="130"/>
  <c r="L26" i="130" s="1"/>
  <c r="M26" i="130" s="1"/>
  <c r="K23" i="130"/>
  <c r="L23" i="130" s="1"/>
  <c r="M23" i="130" s="1"/>
  <c r="K24" i="130"/>
  <c r="K25" i="130"/>
  <c r="K22" i="130"/>
  <c r="L22" i="130" s="1"/>
  <c r="M22" i="130" s="1"/>
  <c r="K21" i="130"/>
  <c r="L21" i="130" s="1"/>
  <c r="M21" i="130" s="1"/>
  <c r="K20" i="130"/>
  <c r="K19" i="130"/>
  <c r="L19" i="130" s="1"/>
  <c r="M19" i="130" s="1"/>
  <c r="K18" i="130"/>
  <c r="L18" i="130" s="1"/>
  <c r="M18" i="130" s="1"/>
  <c r="K17" i="130"/>
  <c r="L17" i="130" s="1"/>
  <c r="M17" i="130" s="1"/>
  <c r="K16" i="130"/>
  <c r="L16" i="130" s="1"/>
  <c r="M16" i="130" s="1"/>
  <c r="K15" i="130"/>
  <c r="L15" i="130" s="1"/>
  <c r="M15" i="130" s="1"/>
  <c r="K14" i="130"/>
  <c r="L14" i="130" s="1"/>
  <c r="M14" i="130" s="1"/>
  <c r="K13" i="130"/>
  <c r="L13" i="130" s="1"/>
  <c r="M13" i="130" s="1"/>
  <c r="K12" i="130"/>
  <c r="L12" i="130" s="1"/>
  <c r="M12" i="130" s="1"/>
  <c r="K11" i="130"/>
  <c r="L11" i="130" s="1"/>
  <c r="M11" i="130" s="1"/>
  <c r="K10" i="130"/>
  <c r="K9" i="130"/>
  <c r="L9" i="130" s="1"/>
  <c r="M9" i="130" s="1"/>
  <c r="K8" i="130"/>
  <c r="L8" i="130" s="1"/>
  <c r="M8" i="130" s="1"/>
  <c r="K7" i="130"/>
  <c r="L7" i="130" s="1"/>
  <c r="M7" i="130" s="1"/>
  <c r="K6" i="130"/>
  <c r="L6" i="130" s="1"/>
  <c r="M6" i="130" s="1"/>
  <c r="K5" i="130"/>
  <c r="K4" i="130"/>
  <c r="L4" i="130" s="1"/>
  <c r="M4" i="130" s="1"/>
  <c r="AE27" i="130"/>
  <c r="AD27" i="130"/>
  <c r="AC27" i="130"/>
  <c r="AB27" i="130"/>
  <c r="AA27" i="130"/>
  <c r="Z27" i="130"/>
  <c r="Y27" i="130"/>
  <c r="X27" i="130"/>
  <c r="W27" i="130"/>
  <c r="V27" i="130"/>
  <c r="U27" i="130"/>
  <c r="T27" i="130"/>
  <c r="S27" i="130"/>
  <c r="R27" i="130"/>
  <c r="Q27" i="130"/>
  <c r="P27" i="130"/>
  <c r="O27" i="130"/>
  <c r="N27" i="130"/>
  <c r="L25" i="130"/>
  <c r="M25" i="130" s="1"/>
  <c r="L24" i="130"/>
  <c r="M24" i="130" s="1"/>
  <c r="L20" i="130"/>
  <c r="M20" i="130" s="1"/>
  <c r="L10" i="130"/>
  <c r="M10" i="130" s="1"/>
  <c r="K26" i="129"/>
  <c r="L26" i="129" s="1"/>
  <c r="M26" i="129" s="1"/>
  <c r="K24" i="129"/>
  <c r="K25" i="129"/>
  <c r="L25" i="129" s="1"/>
  <c r="M25" i="129" s="1"/>
  <c r="K18" i="129"/>
  <c r="L18" i="129" s="1"/>
  <c r="M18" i="129" s="1"/>
  <c r="K19" i="129"/>
  <c r="L19" i="129" s="1"/>
  <c r="M19" i="129" s="1"/>
  <c r="K20" i="129"/>
  <c r="K21" i="129"/>
  <c r="K22" i="129"/>
  <c r="K23" i="129"/>
  <c r="K17" i="129"/>
  <c r="L17" i="129" s="1"/>
  <c r="M17" i="129" s="1"/>
  <c r="K16" i="129"/>
  <c r="L16" i="129" s="1"/>
  <c r="M16" i="129" s="1"/>
  <c r="K15" i="129"/>
  <c r="L15" i="129" s="1"/>
  <c r="M15" i="129" s="1"/>
  <c r="K9" i="129"/>
  <c r="L9" i="129" s="1"/>
  <c r="M9" i="129" s="1"/>
  <c r="K10" i="129"/>
  <c r="K11" i="129"/>
  <c r="K12" i="129"/>
  <c r="L12" i="129" s="1"/>
  <c r="M12" i="129" s="1"/>
  <c r="K13" i="129"/>
  <c r="K14" i="129"/>
  <c r="K8" i="129"/>
  <c r="K7" i="129"/>
  <c r="K5" i="129"/>
  <c r="L5" i="129" s="1"/>
  <c r="M5" i="129" s="1"/>
  <c r="K6" i="129"/>
  <c r="K4" i="129"/>
  <c r="AE27" i="129"/>
  <c r="AD27" i="129"/>
  <c r="AC27" i="129"/>
  <c r="AB27" i="129"/>
  <c r="AA27" i="129"/>
  <c r="Z27" i="129"/>
  <c r="Y27" i="129"/>
  <c r="X27" i="129"/>
  <c r="W27" i="129"/>
  <c r="V27" i="129"/>
  <c r="U27" i="129"/>
  <c r="T27" i="129"/>
  <c r="S27" i="129"/>
  <c r="R27" i="129"/>
  <c r="Q27" i="129"/>
  <c r="P27" i="129"/>
  <c r="O27" i="129"/>
  <c r="N27" i="129"/>
  <c r="L24" i="129"/>
  <c r="M24" i="129" s="1"/>
  <c r="L23" i="129"/>
  <c r="M23" i="129" s="1"/>
  <c r="L22" i="129"/>
  <c r="M22" i="129" s="1"/>
  <c r="L21" i="129"/>
  <c r="M21" i="129" s="1"/>
  <c r="L20" i="129"/>
  <c r="M20" i="129" s="1"/>
  <c r="L14" i="129"/>
  <c r="M14" i="129" s="1"/>
  <c r="L13" i="129"/>
  <c r="M13" i="129" s="1"/>
  <c r="L11" i="129"/>
  <c r="M11" i="129" s="1"/>
  <c r="L10" i="129"/>
  <c r="M10" i="129" s="1"/>
  <c r="L8" i="129"/>
  <c r="M8" i="129" s="1"/>
  <c r="L7" i="129"/>
  <c r="M7" i="129" s="1"/>
  <c r="L6" i="129"/>
  <c r="M6" i="129" s="1"/>
  <c r="L4" i="129"/>
  <c r="M4" i="129" s="1"/>
  <c r="K21" i="128"/>
  <c r="L21" i="128" s="1"/>
  <c r="M21" i="128" s="1"/>
  <c r="K22" i="128"/>
  <c r="K23" i="128"/>
  <c r="K24" i="128"/>
  <c r="L24" i="128" s="1"/>
  <c r="M24" i="128" s="1"/>
  <c r="K25" i="128"/>
  <c r="K26" i="128"/>
  <c r="K20" i="128"/>
  <c r="K19" i="128"/>
  <c r="L19" i="128" s="1"/>
  <c r="M19" i="128" s="1"/>
  <c r="K18" i="128"/>
  <c r="L18" i="128" s="1"/>
  <c r="M18" i="128" s="1"/>
  <c r="K17" i="128"/>
  <c r="L17" i="128" s="1"/>
  <c r="M17" i="128" s="1"/>
  <c r="K16" i="128"/>
  <c r="L16" i="128" s="1"/>
  <c r="M16" i="128" s="1"/>
  <c r="K15" i="128"/>
  <c r="L15" i="128" s="1"/>
  <c r="M15" i="128" s="1"/>
  <c r="K14" i="128"/>
  <c r="L14" i="128" s="1"/>
  <c r="M14" i="128" s="1"/>
  <c r="K13" i="128"/>
  <c r="K12" i="128"/>
  <c r="L12" i="128" s="1"/>
  <c r="M12" i="128" s="1"/>
  <c r="K11" i="128"/>
  <c r="L11" i="128" s="1"/>
  <c r="M11" i="128" s="1"/>
  <c r="K10" i="128"/>
  <c r="L10" i="128" s="1"/>
  <c r="M10" i="128" s="1"/>
  <c r="K9" i="128"/>
  <c r="L9" i="128" s="1"/>
  <c r="M9" i="128" s="1"/>
  <c r="K8" i="128"/>
  <c r="L8" i="128" s="1"/>
  <c r="M8" i="128" s="1"/>
  <c r="K7" i="128"/>
  <c r="L7" i="128" s="1"/>
  <c r="M7" i="128" s="1"/>
  <c r="K6" i="128"/>
  <c r="L6" i="128" s="1"/>
  <c r="M6" i="128" s="1"/>
  <c r="K5" i="128"/>
  <c r="K4" i="128"/>
  <c r="L4" i="128" s="1"/>
  <c r="M4" i="128" s="1"/>
  <c r="AE27" i="128"/>
  <c r="AD27" i="128"/>
  <c r="AC27" i="128"/>
  <c r="AB27" i="128"/>
  <c r="AA27" i="128"/>
  <c r="Z27" i="128"/>
  <c r="Y27" i="128"/>
  <c r="X27" i="128"/>
  <c r="W27" i="128"/>
  <c r="V27" i="128"/>
  <c r="U27" i="128"/>
  <c r="T27" i="128"/>
  <c r="S27" i="128"/>
  <c r="R27" i="128"/>
  <c r="Q27" i="128"/>
  <c r="P27" i="128"/>
  <c r="O27" i="128"/>
  <c r="N27" i="128"/>
  <c r="L26" i="128"/>
  <c r="M26" i="128" s="1"/>
  <c r="L25" i="128"/>
  <c r="M25" i="128" s="1"/>
  <c r="L23" i="128"/>
  <c r="M23" i="128" s="1"/>
  <c r="L22" i="128"/>
  <c r="M22" i="128" s="1"/>
  <c r="L20" i="128"/>
  <c r="M20" i="128" s="1"/>
  <c r="L13" i="128"/>
  <c r="M13" i="128" s="1"/>
  <c r="K21" i="127"/>
  <c r="L21" i="127" s="1"/>
  <c r="M21" i="127" s="1"/>
  <c r="K22" i="127"/>
  <c r="L22" i="127" s="1"/>
  <c r="M22" i="127" s="1"/>
  <c r="K23" i="127"/>
  <c r="K24" i="127"/>
  <c r="K25" i="127"/>
  <c r="K26" i="127"/>
  <c r="K20" i="127"/>
  <c r="L20" i="127" s="1"/>
  <c r="M20" i="127" s="1"/>
  <c r="K19" i="127"/>
  <c r="L19" i="127" s="1"/>
  <c r="M19" i="127" s="1"/>
  <c r="K18" i="127"/>
  <c r="L18" i="127" s="1"/>
  <c r="M18" i="127" s="1"/>
  <c r="K17" i="127"/>
  <c r="L17" i="127" s="1"/>
  <c r="M17" i="127" s="1"/>
  <c r="K16" i="127"/>
  <c r="L16" i="127" s="1"/>
  <c r="M16" i="127" s="1"/>
  <c r="K15" i="127"/>
  <c r="L15" i="127" s="1"/>
  <c r="M15" i="127" s="1"/>
  <c r="K14" i="127"/>
  <c r="L14" i="127" s="1"/>
  <c r="M14" i="127" s="1"/>
  <c r="K13" i="127"/>
  <c r="L13" i="127" s="1"/>
  <c r="M13" i="127" s="1"/>
  <c r="K12" i="127"/>
  <c r="L12" i="127" s="1"/>
  <c r="M12" i="127" s="1"/>
  <c r="K11" i="127"/>
  <c r="L11" i="127" s="1"/>
  <c r="M11" i="127" s="1"/>
  <c r="K10" i="127"/>
  <c r="L10" i="127" s="1"/>
  <c r="M10" i="127" s="1"/>
  <c r="K9" i="127"/>
  <c r="L9" i="127" s="1"/>
  <c r="M9" i="127" s="1"/>
  <c r="K8" i="127"/>
  <c r="L8" i="127" s="1"/>
  <c r="M8" i="127" s="1"/>
  <c r="K7" i="127"/>
  <c r="L7" i="127" s="1"/>
  <c r="M7" i="127" s="1"/>
  <c r="K6" i="127"/>
  <c r="L6" i="127" s="1"/>
  <c r="M6" i="127" s="1"/>
  <c r="K5" i="127"/>
  <c r="L5" i="127" s="1"/>
  <c r="M5" i="127" s="1"/>
  <c r="K4" i="127"/>
  <c r="AE27" i="127"/>
  <c r="AD27" i="127"/>
  <c r="AC27" i="127"/>
  <c r="AB27" i="127"/>
  <c r="AA27" i="127"/>
  <c r="Z27" i="127"/>
  <c r="Y27" i="127"/>
  <c r="X27" i="127"/>
  <c r="W27" i="127"/>
  <c r="V27" i="127"/>
  <c r="U27" i="127"/>
  <c r="T27" i="127"/>
  <c r="S27" i="127"/>
  <c r="R27" i="127"/>
  <c r="Q27" i="127"/>
  <c r="P27" i="127"/>
  <c r="O27" i="127"/>
  <c r="N27" i="127"/>
  <c r="L26" i="127"/>
  <c r="M26" i="127" s="1"/>
  <c r="L25" i="127"/>
  <c r="M25" i="127" s="1"/>
  <c r="L24" i="127"/>
  <c r="M24" i="127" s="1"/>
  <c r="L23" i="127"/>
  <c r="M23" i="127" s="1"/>
  <c r="L4" i="127"/>
  <c r="M4" i="127" s="1"/>
  <c r="M25" i="126"/>
  <c r="L25" i="126"/>
  <c r="M25" i="125"/>
  <c r="L25" i="125"/>
  <c r="M25" i="124"/>
  <c r="L25" i="124"/>
  <c r="M25" i="123"/>
  <c r="L25" i="123"/>
  <c r="L25" i="113"/>
  <c r="M25" i="113" s="1"/>
  <c r="L26" i="113"/>
  <c r="M26" i="113"/>
  <c r="K22" i="126"/>
  <c r="K23" i="126"/>
  <c r="K24" i="126"/>
  <c r="L24" i="126" s="1"/>
  <c r="M24" i="126" s="1"/>
  <c r="K25" i="126"/>
  <c r="K26" i="126"/>
  <c r="K21" i="126"/>
  <c r="K20" i="126"/>
  <c r="L20" i="126" s="1"/>
  <c r="M20" i="126" s="1"/>
  <c r="K19" i="126"/>
  <c r="K18" i="126"/>
  <c r="K17" i="126"/>
  <c r="L17" i="126" s="1"/>
  <c r="M17" i="126" s="1"/>
  <c r="K16" i="126"/>
  <c r="K15" i="126"/>
  <c r="L15" i="126" s="1"/>
  <c r="M15" i="126" s="1"/>
  <c r="K14" i="126"/>
  <c r="L14" i="126" s="1"/>
  <c r="M14" i="126" s="1"/>
  <c r="K13" i="126"/>
  <c r="K12" i="126"/>
  <c r="K11" i="126"/>
  <c r="K10" i="126"/>
  <c r="L10" i="126" s="1"/>
  <c r="M10" i="126" s="1"/>
  <c r="K9" i="126"/>
  <c r="K8" i="126"/>
  <c r="K7" i="126"/>
  <c r="K6" i="126"/>
  <c r="L6" i="126" s="1"/>
  <c r="M6" i="126" s="1"/>
  <c r="K5" i="126"/>
  <c r="K4" i="126"/>
  <c r="AE27" i="126"/>
  <c r="AD27" i="126"/>
  <c r="AC27" i="126"/>
  <c r="AB27" i="126"/>
  <c r="AA27" i="126"/>
  <c r="Z27" i="126"/>
  <c r="Y27" i="126"/>
  <c r="X27" i="126"/>
  <c r="W27" i="126"/>
  <c r="V27" i="126"/>
  <c r="U27" i="126"/>
  <c r="T27" i="126"/>
  <c r="S27" i="126"/>
  <c r="R27" i="126"/>
  <c r="Q27" i="126"/>
  <c r="P27" i="126"/>
  <c r="O27" i="126"/>
  <c r="N27" i="126"/>
  <c r="L26" i="126"/>
  <c r="M26" i="126" s="1"/>
  <c r="L23" i="126"/>
  <c r="M23" i="126" s="1"/>
  <c r="L22" i="126"/>
  <c r="M22" i="126" s="1"/>
  <c r="L21" i="126"/>
  <c r="M21" i="126" s="1"/>
  <c r="L19" i="126"/>
  <c r="M19" i="126" s="1"/>
  <c r="L18" i="126"/>
  <c r="M18" i="126" s="1"/>
  <c r="L16" i="126"/>
  <c r="M16" i="126" s="1"/>
  <c r="L13" i="126"/>
  <c r="M13" i="126" s="1"/>
  <c r="L12" i="126"/>
  <c r="M12" i="126" s="1"/>
  <c r="L11" i="126"/>
  <c r="M11" i="126" s="1"/>
  <c r="L9" i="126"/>
  <c r="M9" i="126" s="1"/>
  <c r="L8" i="126"/>
  <c r="M8" i="126" s="1"/>
  <c r="L7" i="126"/>
  <c r="M7" i="126" s="1"/>
  <c r="L5" i="126"/>
  <c r="M5" i="126" s="1"/>
  <c r="L4" i="126"/>
  <c r="M4" i="126" s="1"/>
  <c r="K21" i="125"/>
  <c r="L21" i="125" s="1"/>
  <c r="M21" i="125" s="1"/>
  <c r="K22" i="125"/>
  <c r="K23" i="125"/>
  <c r="L23" i="125" s="1"/>
  <c r="M23" i="125" s="1"/>
  <c r="K24" i="125"/>
  <c r="K25" i="125"/>
  <c r="K26" i="125"/>
  <c r="K20" i="125"/>
  <c r="K19" i="125"/>
  <c r="K18" i="125"/>
  <c r="K17" i="125"/>
  <c r="K16" i="125"/>
  <c r="K15" i="125"/>
  <c r="L15" i="125" s="1"/>
  <c r="M15" i="125" s="1"/>
  <c r="K14" i="125"/>
  <c r="K13" i="125"/>
  <c r="K12" i="125"/>
  <c r="K11" i="125"/>
  <c r="K10" i="125"/>
  <c r="L10" i="125" s="1"/>
  <c r="M10" i="125" s="1"/>
  <c r="K9" i="125"/>
  <c r="K8" i="125"/>
  <c r="K7" i="125"/>
  <c r="L7" i="125" s="1"/>
  <c r="M7" i="125" s="1"/>
  <c r="K6" i="125"/>
  <c r="L6" i="125" s="1"/>
  <c r="M6" i="125" s="1"/>
  <c r="K5" i="125"/>
  <c r="L5" i="125" s="1"/>
  <c r="M5" i="125" s="1"/>
  <c r="K4" i="125"/>
  <c r="L4" i="125" s="1"/>
  <c r="M4" i="125" s="1"/>
  <c r="AE27" i="125"/>
  <c r="AD27" i="125"/>
  <c r="AC27" i="125"/>
  <c r="AB27" i="125"/>
  <c r="AA27" i="125"/>
  <c r="Z27" i="125"/>
  <c r="Y27" i="125"/>
  <c r="X27" i="125"/>
  <c r="W27" i="125"/>
  <c r="V27" i="125"/>
  <c r="U27" i="125"/>
  <c r="T27" i="125"/>
  <c r="S27" i="125"/>
  <c r="R27" i="125"/>
  <c r="Q27" i="125"/>
  <c r="P27" i="125"/>
  <c r="O27" i="125"/>
  <c r="N27" i="125"/>
  <c r="L26" i="125"/>
  <c r="M26" i="125" s="1"/>
  <c r="L24" i="125"/>
  <c r="M24" i="125" s="1"/>
  <c r="L22" i="125"/>
  <c r="M22" i="125" s="1"/>
  <c r="L20" i="125"/>
  <c r="M20" i="125" s="1"/>
  <c r="L19" i="125"/>
  <c r="M19" i="125" s="1"/>
  <c r="L18" i="125"/>
  <c r="M18" i="125" s="1"/>
  <c r="L17" i="125"/>
  <c r="M17" i="125" s="1"/>
  <c r="L16" i="125"/>
  <c r="M16" i="125" s="1"/>
  <c r="L14" i="125"/>
  <c r="M14" i="125" s="1"/>
  <c r="L13" i="125"/>
  <c r="M13" i="125" s="1"/>
  <c r="L12" i="125"/>
  <c r="M12" i="125" s="1"/>
  <c r="L11" i="125"/>
  <c r="M11" i="125" s="1"/>
  <c r="L9" i="125"/>
  <c r="M9" i="125" s="1"/>
  <c r="K19" i="124"/>
  <c r="L19" i="124" s="1"/>
  <c r="M19" i="124" s="1"/>
  <c r="K20" i="124"/>
  <c r="L20" i="124" s="1"/>
  <c r="M20" i="124" s="1"/>
  <c r="K21" i="124"/>
  <c r="L21" i="124" s="1"/>
  <c r="M21" i="124" s="1"/>
  <c r="K22" i="124"/>
  <c r="K23" i="124"/>
  <c r="K24" i="124"/>
  <c r="K25" i="124"/>
  <c r="K26" i="124"/>
  <c r="L26" i="124" s="1"/>
  <c r="M26" i="124" s="1"/>
  <c r="K18" i="124"/>
  <c r="L18" i="124" s="1"/>
  <c r="M18" i="124" s="1"/>
  <c r="K17" i="124"/>
  <c r="K16" i="124"/>
  <c r="K15" i="124"/>
  <c r="K14" i="124"/>
  <c r="K13" i="124"/>
  <c r="K12" i="124"/>
  <c r="K11" i="124"/>
  <c r="K10" i="124"/>
  <c r="K9" i="124"/>
  <c r="K5" i="124"/>
  <c r="K6" i="124"/>
  <c r="L6" i="124" s="1"/>
  <c r="M6" i="124" s="1"/>
  <c r="K7" i="124"/>
  <c r="L7" i="124" s="1"/>
  <c r="M7" i="124" s="1"/>
  <c r="K8" i="124"/>
  <c r="L8" i="124" s="1"/>
  <c r="M8" i="124" s="1"/>
  <c r="K4" i="124"/>
  <c r="AE27" i="124"/>
  <c r="AD27" i="124"/>
  <c r="AC27" i="124"/>
  <c r="AB27" i="124"/>
  <c r="AA27" i="124"/>
  <c r="Z27" i="124"/>
  <c r="Y27" i="124"/>
  <c r="X27" i="124"/>
  <c r="W27" i="124"/>
  <c r="V27" i="124"/>
  <c r="U27" i="124"/>
  <c r="T27" i="124"/>
  <c r="S27" i="124"/>
  <c r="R27" i="124"/>
  <c r="Q27" i="124"/>
  <c r="P27" i="124"/>
  <c r="O27" i="124"/>
  <c r="N27" i="124"/>
  <c r="L24" i="124"/>
  <c r="M24" i="124" s="1"/>
  <c r="L23" i="124"/>
  <c r="M23" i="124" s="1"/>
  <c r="L22" i="124"/>
  <c r="M22" i="124" s="1"/>
  <c r="L17" i="124"/>
  <c r="M17" i="124" s="1"/>
  <c r="L16" i="124"/>
  <c r="L15" i="124"/>
  <c r="M15" i="124" s="1"/>
  <c r="L14" i="124"/>
  <c r="M14" i="124" s="1"/>
  <c r="L13" i="124"/>
  <c r="M13" i="124" s="1"/>
  <c r="L12" i="124"/>
  <c r="M12" i="124" s="1"/>
  <c r="L11" i="124"/>
  <c r="M11" i="124" s="1"/>
  <c r="L10" i="124"/>
  <c r="M10" i="124" s="1"/>
  <c r="L9" i="124"/>
  <c r="M9" i="124" s="1"/>
  <c r="L5" i="124"/>
  <c r="M5" i="124" s="1"/>
  <c r="K9" i="123"/>
  <c r="L9" i="123" s="1"/>
  <c r="M9" i="123" s="1"/>
  <c r="K10" i="123"/>
  <c r="L10" i="123" s="1"/>
  <c r="M10" i="123" s="1"/>
  <c r="K11" i="123"/>
  <c r="K12" i="123"/>
  <c r="K13" i="123"/>
  <c r="K14" i="123"/>
  <c r="L14" i="123" s="1"/>
  <c r="M14" i="123" s="1"/>
  <c r="K15" i="123"/>
  <c r="L15" i="123" s="1"/>
  <c r="M15" i="123" s="1"/>
  <c r="K16" i="123"/>
  <c r="L16" i="123" s="1"/>
  <c r="M16" i="123" s="1"/>
  <c r="K17" i="123"/>
  <c r="K18" i="123"/>
  <c r="K19" i="123"/>
  <c r="K20" i="123"/>
  <c r="L20" i="123" s="1"/>
  <c r="M20" i="123" s="1"/>
  <c r="K21" i="123"/>
  <c r="L21" i="123" s="1"/>
  <c r="M21" i="123" s="1"/>
  <c r="K22" i="123"/>
  <c r="L22" i="123" s="1"/>
  <c r="M22" i="123" s="1"/>
  <c r="K23" i="123"/>
  <c r="K24" i="123"/>
  <c r="K25" i="123"/>
  <c r="K26" i="123"/>
  <c r="K8" i="123"/>
  <c r="K7" i="123"/>
  <c r="K6" i="123"/>
  <c r="K5" i="123"/>
  <c r="L5" i="123" s="1"/>
  <c r="M5" i="123" s="1"/>
  <c r="K4" i="123"/>
  <c r="AE27" i="123"/>
  <c r="AD27" i="123"/>
  <c r="AC27" i="123"/>
  <c r="AB27" i="123"/>
  <c r="AA27" i="123"/>
  <c r="Z27" i="123"/>
  <c r="Y27" i="123"/>
  <c r="X27" i="123"/>
  <c r="W27" i="123"/>
  <c r="V27" i="123"/>
  <c r="U27" i="123"/>
  <c r="T27" i="123"/>
  <c r="S27" i="123"/>
  <c r="R27" i="123"/>
  <c r="Q27" i="123"/>
  <c r="P27" i="123"/>
  <c r="O27" i="123"/>
  <c r="N27" i="123"/>
  <c r="L26" i="123"/>
  <c r="M26" i="123" s="1"/>
  <c r="L24" i="123"/>
  <c r="M24" i="123" s="1"/>
  <c r="L23" i="123"/>
  <c r="M23" i="123" s="1"/>
  <c r="L19" i="123"/>
  <c r="M19" i="123" s="1"/>
  <c r="L18" i="123"/>
  <c r="M18" i="123" s="1"/>
  <c r="L17" i="123"/>
  <c r="M17" i="123" s="1"/>
  <c r="L13" i="123"/>
  <c r="M13" i="123" s="1"/>
  <c r="L12" i="123"/>
  <c r="M12" i="123" s="1"/>
  <c r="L11" i="123"/>
  <c r="M11" i="123" s="1"/>
  <c r="L8" i="123"/>
  <c r="M8" i="123" s="1"/>
  <c r="L7" i="123"/>
  <c r="M7" i="123" s="1"/>
  <c r="L6" i="123"/>
  <c r="M6" i="123" s="1"/>
  <c r="K21" i="113"/>
  <c r="K22" i="113"/>
  <c r="K23" i="113"/>
  <c r="K24" i="113"/>
  <c r="K25" i="113"/>
  <c r="K26" i="113"/>
  <c r="K20" i="113"/>
  <c r="K19" i="113"/>
  <c r="K18" i="113"/>
  <c r="K17" i="113"/>
  <c r="K16" i="113"/>
  <c r="K15" i="113"/>
  <c r="K14" i="113"/>
  <c r="K13" i="113"/>
  <c r="K12" i="113"/>
  <c r="K11" i="113"/>
  <c r="K10" i="113"/>
  <c r="K9" i="113"/>
  <c r="K8" i="113"/>
  <c r="K7" i="113"/>
  <c r="K6" i="113"/>
  <c r="K5" i="113"/>
  <c r="K4" i="113"/>
  <c r="O27" i="113"/>
  <c r="P27" i="113"/>
  <c r="Q27" i="113"/>
  <c r="R27" i="113"/>
  <c r="S27" i="113"/>
  <c r="T27" i="113"/>
  <c r="U27" i="113"/>
  <c r="V27" i="113"/>
  <c r="W27" i="113"/>
  <c r="X27" i="113"/>
  <c r="Y27" i="113"/>
  <c r="Z27" i="113"/>
  <c r="AA27" i="113"/>
  <c r="AB27" i="113"/>
  <c r="AC27" i="113"/>
  <c r="AD27" i="113"/>
  <c r="AE27" i="113"/>
  <c r="N27" i="113"/>
  <c r="M16" i="124" l="1"/>
  <c r="H16" i="91"/>
  <c r="H27" i="91" s="1"/>
  <c r="M4" i="131"/>
  <c r="H4" i="91"/>
  <c r="L11" i="131"/>
  <c r="M11" i="131" s="1"/>
  <c r="L5" i="130"/>
  <c r="M5" i="130" s="1"/>
  <c r="L5" i="128"/>
  <c r="M5" i="128" s="1"/>
  <c r="L8" i="125"/>
  <c r="M8" i="125" s="1"/>
  <c r="L4" i="124"/>
  <c r="M4" i="124" s="1"/>
  <c r="L4" i="123"/>
  <c r="M4" i="123" s="1"/>
  <c r="J24" i="91" l="1"/>
  <c r="J25" i="91"/>
  <c r="G30" i="91"/>
  <c r="J23" i="91" l="1"/>
  <c r="G29" i="91"/>
  <c r="J26" i="91" l="1"/>
  <c r="L13" i="113" l="1"/>
  <c r="L14" i="113"/>
  <c r="L15" i="113"/>
  <c r="L16" i="113"/>
  <c r="L17" i="113"/>
  <c r="M17" i="113" l="1"/>
  <c r="M16" i="113"/>
  <c r="M15" i="113"/>
  <c r="M14" i="113"/>
  <c r="M13" i="113"/>
  <c r="J14" i="91"/>
  <c r="J5" i="91" l="1"/>
  <c r="J6" i="91"/>
  <c r="J10" i="91"/>
  <c r="J16" i="91"/>
  <c r="J17" i="91"/>
  <c r="J20" i="91"/>
  <c r="J22" i="91" l="1"/>
  <c r="J9" i="91"/>
  <c r="J13" i="91"/>
  <c r="J21" i="91"/>
  <c r="J19" i="91"/>
  <c r="J15" i="91"/>
  <c r="J12" i="91"/>
  <c r="J8" i="91"/>
  <c r="J18" i="91"/>
  <c r="J11" i="91"/>
  <c r="J7" i="91"/>
  <c r="G31" i="91"/>
  <c r="L5" i="113"/>
  <c r="L6" i="113"/>
  <c r="L7" i="113"/>
  <c r="L8" i="113"/>
  <c r="L9" i="113"/>
  <c r="L10" i="113"/>
  <c r="L11" i="113"/>
  <c r="L12" i="113"/>
  <c r="L18" i="113"/>
  <c r="L19" i="113"/>
  <c r="L20" i="113"/>
  <c r="L21" i="113"/>
  <c r="I21" i="91" s="1"/>
  <c r="L22" i="113"/>
  <c r="L23" i="113"/>
  <c r="L24" i="113"/>
  <c r="L4" i="113"/>
  <c r="K25" i="91" l="1"/>
  <c r="I25" i="91"/>
  <c r="I23" i="91"/>
  <c r="K23" i="91"/>
  <c r="K26" i="91"/>
  <c r="I26" i="91"/>
  <c r="I24" i="91"/>
  <c r="K24" i="91"/>
  <c r="K19" i="91"/>
  <c r="K14" i="91"/>
  <c r="I14" i="91"/>
  <c r="M11" i="113"/>
  <c r="K17" i="91"/>
  <c r="I17" i="91"/>
  <c r="M10" i="113"/>
  <c r="M6" i="113"/>
  <c r="I20" i="91"/>
  <c r="K20" i="91"/>
  <c r="M18" i="113"/>
  <c r="M9" i="113"/>
  <c r="M5" i="113"/>
  <c r="I19" i="91"/>
  <c r="M24" i="113"/>
  <c r="M20" i="113"/>
  <c r="M7" i="113"/>
  <c r="M4" i="113"/>
  <c r="M19" i="113"/>
  <c r="M12" i="113"/>
  <c r="M8" i="113"/>
  <c r="M23" i="113"/>
  <c r="M22" i="113"/>
  <c r="M21" i="113"/>
  <c r="I16" i="91" l="1"/>
  <c r="I27" i="91" s="1"/>
  <c r="K16" i="91"/>
  <c r="K27" i="91" s="1"/>
  <c r="K5" i="91"/>
  <c r="I5" i="91"/>
  <c r="K10" i="91"/>
  <c r="I10" i="91"/>
  <c r="K15" i="91"/>
  <c r="I15" i="91"/>
  <c r="K7" i="91"/>
  <c r="I7" i="91"/>
  <c r="K9" i="91"/>
  <c r="I9" i="91"/>
  <c r="K6" i="91"/>
  <c r="I6" i="91"/>
  <c r="K11" i="91"/>
  <c r="I11" i="91"/>
  <c r="K13" i="91"/>
  <c r="I13" i="91"/>
  <c r="K22" i="91"/>
  <c r="I22" i="91"/>
  <c r="K8" i="91"/>
  <c r="I8" i="91"/>
  <c r="K18" i="91"/>
  <c r="I18" i="91"/>
  <c r="K12" i="91"/>
  <c r="I12" i="91"/>
  <c r="K21" i="91"/>
  <c r="J4" i="91" l="1"/>
  <c r="K32" i="91" l="1"/>
  <c r="K4" i="91"/>
  <c r="K33" i="91" l="1"/>
  <c r="K35" i="91" s="1"/>
  <c r="I4" i="91"/>
</calcChain>
</file>

<file path=xl/sharedStrings.xml><?xml version="1.0" encoding="utf-8"?>
<sst xmlns="http://schemas.openxmlformats.org/spreadsheetml/2006/main" count="2136" uniqueCount="118">
  <si>
    <t>Saldo / Automático</t>
  </si>
  <si>
    <t>...../...../......</t>
  </si>
  <si>
    <t>ALERTA</t>
  </si>
  <si>
    <t>Item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</si>
  <si>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</si>
  <si>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</si>
  <si>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</si>
  <si>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</si>
  <si>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</si>
  <si>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</si>
  <si>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</si>
  <si>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</si>
  <si>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</si>
  <si>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</si>
  <si>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m²</t>
  </si>
  <si>
    <t>339030.24</t>
  </si>
  <si>
    <t>339039.16</t>
  </si>
  <si>
    <t>02387-6-013</t>
  </si>
  <si>
    <t>02590-9-008</t>
  </si>
  <si>
    <t>03960-8-048</t>
  </si>
  <si>
    <t>03027-9-027</t>
  </si>
  <si>
    <t>03027-9-005</t>
  </si>
  <si>
    <t>03027-9-028</t>
  </si>
  <si>
    <t>07626-0-008</t>
  </si>
  <si>
    <t>Peça</t>
  </si>
  <si>
    <t>11073-6-014</t>
  </si>
  <si>
    <t>12254-8-003</t>
  </si>
  <si>
    <t>Empresa</t>
  </si>
  <si>
    <t>Descrição</t>
  </si>
  <si>
    <t>Marca/Modelo</t>
  </si>
  <si>
    <t>Código NUC</t>
  </si>
  <si>
    <t>Detalhamento</t>
  </si>
  <si>
    <t>50073 0 001</t>
  </si>
  <si>
    <t>Serviço de desmontagem de divisórias em painéis com espessura de 35mm, miolo em colméia, estrutura em aço ou alumínio.</t>
  </si>
  <si>
    <t>Serviço de montagem de divisórias em painéis com espessura de 35mm, miolo em colméia, estrutura em aço ou alumínio.</t>
  </si>
  <si>
    <t>Tábua para deck em pinus tratado (autoclave) com nó de 3 X 9 X 300cm. Tratamento pelos métodos de Preservação determinados pela Norma NBR 7190, da ABNT, com classe de risco CR4, sob vácuo e pressão em Autoclave.</t>
  </si>
  <si>
    <r>
      <rPr>
        <b/>
        <sz val="11"/>
        <rFont val="Calibri"/>
        <family val="2"/>
        <scheme val="minor"/>
      </rPr>
      <t xml:space="preserve">OBJETO: </t>
    </r>
    <r>
      <rPr>
        <sz val="11"/>
        <rFont val="Calibri"/>
        <family val="2"/>
        <scheme val="minor"/>
      </rPr>
      <t>AQUISIÇÃO DE DIVISÓRIAS, VIDROS, CORTINAS E SIMILARES PARA O CAMPUS I, CERES, CESFI E CEAVI PARA ATENDER ÀS NECESSIDADES DA UNIVERSIDADE DO ESTADO DE SANTA CATARINA (UDESC)</t>
    </r>
  </si>
  <si>
    <r>
      <rPr>
        <b/>
        <sz val="11"/>
        <rFont val="Calibri"/>
        <family val="2"/>
        <scheme val="minor"/>
      </rPr>
      <t>PE 0654/2024 SRP</t>
    </r>
    <r>
      <rPr>
        <sz val="11"/>
        <rFont val="Calibri"/>
        <family val="2"/>
        <scheme val="minor"/>
      </rPr>
      <t xml:space="preserve"> - (SGPE DE ORIGEM: 8475/2024)</t>
    </r>
  </si>
  <si>
    <r>
      <t>VIGÊNCIA DA ATA: 14/05/2024 a</t>
    </r>
    <r>
      <rPr>
        <b/>
        <sz val="11"/>
        <rFont val="Calibri"/>
        <family val="2"/>
        <scheme val="minor"/>
      </rPr>
      <t xml:space="preserve"> 14/05/2025</t>
    </r>
  </si>
  <si>
    <t xml:space="preserve"> AF/OS nº  xxxx/2024 (Quantidade)</t>
  </si>
  <si>
    <t>Lote</t>
  </si>
  <si>
    <t xml:space="preserve">Preço UNITÁRIO </t>
  </si>
  <si>
    <t>Grupo-Classe</t>
  </si>
  <si>
    <t>OBS:</t>
  </si>
  <si>
    <t>LOTE 07 - DESERTO</t>
  </si>
  <si>
    <t>Cebrace/Espelho</t>
  </si>
  <si>
    <t>45-03</t>
  </si>
  <si>
    <t>Cebrace/Vidro</t>
  </si>
  <si>
    <t>Eucatex/Conforme edital</t>
  </si>
  <si>
    <t>45-08</t>
  </si>
  <si>
    <t>02-30</t>
  </si>
  <si>
    <t>SUN/Protect</t>
  </si>
  <si>
    <t>45-06</t>
  </si>
  <si>
    <t>Própria/vertical blackout</t>
  </si>
  <si>
    <t>16-02</t>
  </si>
  <si>
    <t>Própria/vertical resinado</t>
  </si>
  <si>
    <t>Própria/PH HORIZONTAL 50 MM ALUMINIO</t>
  </si>
  <si>
    <t>Própria/PH HORIZONTAL 50 MM ALUMINIO BK</t>
  </si>
  <si>
    <t>Cortina manual em tecido blackout 100%, lavável, com cor a definir, fornecimento e fixação de varão trilho suíço deslizante na parede ou teto, rodízios deslizantes instalados, contendo franzimento de 2 vezes a metragem. (Para medida do m² será considerado a área a ser coberta e não a metragem de tecido utilizada, para cálculos da cotação utilizar altura média de 1,80m). Instaladas</t>
  </si>
  <si>
    <t>Própria/Cortina Tecido blackou</t>
  </si>
  <si>
    <t>12337-4-007</t>
  </si>
  <si>
    <t xml:space="preserve">Persiana em rolo. Acionamento manual, com opção de montagem bilateral.; tipo tela solar, produzida em fibra de vidro e PVC antichama; atóxica; translúcida; fator de abertura de 5%; espessura mínima 0,5mm; largura máxima 2,0m; bloqueio mínimo de 90% de raios UV; lavável; com estabilidade dimensional (não estica ou deforma com as variações de temperatura). Com tubo enrolador e perfil inferior em alumínio; acionamento por corrente tipo standard com cordão de poliéster; enrolamento padrão (tecido recolhido por trás do tubo enrolador); cores preferenciais branca ou bege/off-white, ou cinza claro. O produto deverá ser instalado pelo fornecedor, sendo admitidos vãos (frestas) de até 4cm entre cortinas instaladas lado a lado. Garantia mínima 1 ano da cortina, sobre defeitos de fabricação ou vicio oculto. </t>
  </si>
  <si>
    <t>Quevedo/Rolo</t>
  </si>
  <si>
    <t>12254-8-005</t>
  </si>
  <si>
    <t>Cortina em tecido poliéster corta luz/blackout, ilhós, com 01 varão, instalada, em dimensões aproximadas em 2m(L) x 1,60m (A). Instalação contratada por metro quadrado com mão-de-obra. O valor da confecção compreende o valor global do metro quadrado, incluindo mão de obra de instalação e os acessórios/peças necessários.</t>
  </si>
  <si>
    <t>Própria/Própria</t>
  </si>
  <si>
    <t>12337-4-012</t>
  </si>
  <si>
    <t>Cortina com tecido Corta Luz/ Blackout liso, composição 100% poliéster lavável. Sistema “trilho suíço branco uma via”, ou superior. Cor a ser definida, com possibilidade de troca de cor, em comum acordo das partes – desde que não altere o valor do metro proposto. Dimensões aproximadas em 2m (L) x 1,60m (A). Instalação contratada por metro quadrado. O valor da confecção compreende o valor global do metro quadrado, incluindo mão de obra de instalação e os acessórios necessários (tecidos, trilhos necessários, fixadores, deslizantes, terminal, entre outros)</t>
  </si>
  <si>
    <t>Própria/	CORTINA CORTA LUZ BLACKOUT</t>
  </si>
  <si>
    <t>Cortina ROLO BlackOut, tecido vinílico, pode ser enrolada ou desenrolada num tubo superior e desta forma pode ser recolhida totalmente. Dimensões aproximadas em 2m (L) x 1,60m (A). Instalação contratada por metro quadrado. O valor da confecção compreende o valor global do metro quadrado, incluindo mão de obra de instalação e os acessórios necessários.</t>
  </si>
  <si>
    <t>Amorim/CORTINA ROLO BLACKOUT</t>
  </si>
  <si>
    <t>12337-4-003</t>
  </si>
  <si>
    <t>M. Paulo Lopes/Deck/3 x 9 x 300cm</t>
  </si>
  <si>
    <t>02 30</t>
  </si>
  <si>
    <t>5678-2-017</t>
  </si>
  <si>
    <t>339030.16</t>
  </si>
  <si>
    <t xml:space="preserve">Toldo em chapa de policarbonato, curvo, para fixar em parede, cor cristal, em dimensões aproximadas de 70 cm x 120 cm, com no mínimo 4mm de espessura. Material de fixação em alumínio e plástico de engenharia. Composto por suportes e o toldo. Entrega em Florianópolis/SC, não necessita instalação. </t>
  </si>
  <si>
    <t>I. BRASIL/T.P.Curvo de Parede</t>
  </si>
  <si>
    <t>48 07</t>
  </si>
  <si>
    <t>2639-5-002</t>
  </si>
  <si>
    <t>GABRIEL FAGUNDES ZAMPIRON LTDA, CNPJ 25.136.411/0001-30</t>
  </si>
  <si>
    <t>DELDUQUE COMÉRCIO E SERVIÇOS LTDA, CNPJ 07.082.650/0001-72</t>
  </si>
  <si>
    <t>POPCOM UTILIDADES LTDA, CNPJ 50.388.770/0001-21</t>
  </si>
  <si>
    <t>DECORINTER INDÚSTRIA E COMÉRCIO LTDA, CNPJ 03.884.308/0001-35</t>
  </si>
  <si>
    <t>NOBRE PERSIANAS E DIVISÓRIAS LTDA, CNPJ 29.122.691/0001-88</t>
  </si>
  <si>
    <t>PERSIANAS SANTA CATARINA LTDA, CNPJ 00.991.023/0001-05</t>
  </si>
  <si>
    <t>NOBRE PERSIANAS E DIVISÓRIAS LTDA, CNPJ: 29.122.691/0001-88</t>
  </si>
  <si>
    <t>RAQUEL CARDOSO DIAS PENHA - ME, CNPJ 43.366.221/0001-90</t>
  </si>
  <si>
    <t>Espelho cristal 4mm. Instalado. Com moldura em alumínio e compensado 6mm plastificado colado. Considerar retirada do vidro existente se houver.</t>
  </si>
  <si>
    <r>
      <t>Vidro mini-boreal incolor, 3mm. Instalado</t>
    </r>
    <r>
      <rPr>
        <sz val="11"/>
        <color indexed="8"/>
        <rFont val="Calibri"/>
        <family val="2"/>
        <scheme val="minor"/>
      </rPr>
      <t>.</t>
    </r>
  </si>
  <si>
    <r>
      <t>Fornecimento e instalação</t>
    </r>
    <r>
      <rPr>
        <sz val="11"/>
        <color indexed="8"/>
        <rFont val="Calibri"/>
        <family val="2"/>
        <scheme val="minor"/>
      </rPr>
      <t xml:space="preserve"> de vidro liso 3mm, incolor, incluindo massa/filete de espuma em ambas as faces, acabamento e retirada do vidro e massa anterior se houver.</t>
    </r>
  </si>
  <si>
    <r>
      <t xml:space="preserve">Fornecimento e instalação </t>
    </r>
    <r>
      <rPr>
        <sz val="11"/>
        <color indexed="8"/>
        <rFont val="Calibri"/>
        <family val="2"/>
        <scheme val="minor"/>
      </rPr>
      <t>de vidro liso 4mm, incolor, incluindo massa/filete de espuma em ambas as faces, acabamento e retirada do vidro e massa anterior se houver.</t>
    </r>
  </si>
  <si>
    <r>
      <t>Fornecimento e instalaçã</t>
    </r>
    <r>
      <rPr>
        <sz val="11"/>
        <color indexed="8"/>
        <rFont val="Calibri"/>
        <family val="2"/>
        <scheme val="minor"/>
      </rPr>
      <t>o de vidro liso 5mm, incolor, incluindo massa/filete de espuma em ambas as faces, acabamento e retirada do vidro e massa anterior se houver.</t>
    </r>
  </si>
  <si>
    <r>
      <t xml:space="preserve">Fornecimento de divisórias em painéis com espessura de 35mm, com miolo em colméia em kraft de alta gramatura e estrutura em aço galvanizado com pintura em epóxi-poliester pó. Colocação programada e cor do painel a escolher. </t>
    </r>
    <r>
      <rPr>
        <sz val="11"/>
        <color indexed="8"/>
        <rFont val="Calibri"/>
        <family val="2"/>
        <scheme val="minor"/>
      </rPr>
      <t>Instalada.</t>
    </r>
  </si>
  <si>
    <r>
      <t>Fornecimento de divisórias em painéis com espessura de 35mm, com miolo em colméia em kraft de alta gramatura e estrutura em aço galvanizado com pintura em epóxi-poliester pó. Estrutura com Módulo de vidro de espessura mínima de 4mm (vidro incluido na cotação). Painel de divisórias e bandeira em vidro com altura a ser definido na AF, fazendo a estrutura ficar com "painel, vidro e painel" ou "painel e vidro". Colocação programada e cor a escolher.</t>
    </r>
    <r>
      <rPr>
        <sz val="11"/>
        <color indexed="8"/>
        <rFont val="Calibri"/>
        <family val="2"/>
        <scheme val="minor"/>
      </rPr>
      <t xml:space="preserve"> Instalado.</t>
    </r>
  </si>
  <si>
    <t>Porta de abrir eixo vertical, 90X210cm em painéis divisórias, cor a definir. Com miolo em colméia e estrutura em aço com pintura em epóxi na cor preta, bege ou branca, completa (com maçaneta, chave e dobradiças). Compatíveis com as divisórias existentes. Instalada.</t>
  </si>
  <si>
    <t>Porta para divisórias em painéis de espessura 35mm, com miolo tipo colméia em kraft de alta gramatura, estrutura em aço galvanizado, com pintura epóxi-poliester pó. Colocação programada e cor a definir. Medidas da porta: 0,80x2,10m. Instalada.</t>
  </si>
  <si>
    <t>Película profissional refletiva para redução de temperatura e de incidência dos raios UV. Instalada.</t>
  </si>
  <si>
    <t xml:space="preserve">Persiana vertical em tecido resinado RAMI natural com blackout em faixas de no mínimo 9cm, guias para abrir e fechar e mudança de posição (controle de entrada de luz) cor a definir, instalada. (para cálculos da cotação utilizar altura média de 1,60m). </t>
  </si>
  <si>
    <t xml:space="preserve">Persiana vertical em tecido resinado RAMI natural - em faixas de no mín. 9 cm, guias para abrir e fechar e mudança de posição (controle a entrada de luz). Cor a definir. Instalada. (para cálculos da cotação utilizar altura média de 1,60m). </t>
  </si>
  <si>
    <t>Persiana horizontal de alumínio com lâminas de 50mm, não-perfurada, que permita ser utilizada por meio de um cordão e haste. Completa, inclui todos os acessórios necessários para a sua instalação e funcionamento. Modelo de referência: Haste e Cordão/Luxaflex. instalada.</t>
  </si>
  <si>
    <t>Persiana horizontal de alumínio com lâminas de 50mm, modelo blackout, sem furos, que permita ser utilizada por meio de um cordão e haste. Completa, inclui todos os acessórios necessários para a sua instalação e funcionamento. Modelo de referência: Haste e Cordão/Luxaflex. instalada.</t>
  </si>
  <si>
    <t>CENTRO PARTICIPANTE: REITORIA-MUSEU</t>
  </si>
  <si>
    <t>CENTRO PARTICIPANTE: REITORIA-SEMS</t>
  </si>
  <si>
    <t>CENTRO PARTICIPANTE: CESFI</t>
  </si>
  <si>
    <t>Prazo de Pagamento: 30 dias</t>
  </si>
  <si>
    <t>Prazo de Entrega: 30 dias corridos</t>
  </si>
  <si>
    <t>CENTRO PARTICIPANTE: CEAD</t>
  </si>
  <si>
    <t>CENTRO PARTICIPANTE: FAED</t>
  </si>
  <si>
    <t>CENTRO PARTICIPANTE: CERES</t>
  </si>
  <si>
    <t>CENTRO PARTICIPANTE: CEFID</t>
  </si>
  <si>
    <t>CENTRO PARTICIPANTE: CEAVI</t>
  </si>
  <si>
    <t>CENTRO PARTICIPANTE: ESAG</t>
  </si>
  <si>
    <t>CENTRO PARTICIPANTE: CEART</t>
  </si>
  <si>
    <t>Atualizado em 20/05/2024</t>
  </si>
  <si>
    <r>
      <t xml:space="preserve">VIGÊNCIA DA ATA: 14/05/2024 a </t>
    </r>
    <r>
      <rPr>
        <b/>
        <sz val="11"/>
        <rFont val="Calibri"/>
        <family val="2"/>
        <scheme val="minor"/>
      </rPr>
      <t>14/05/2025</t>
    </r>
  </si>
  <si>
    <t>CONTROLE DO GESTOR</t>
  </si>
  <si>
    <t xml:space="preserve"> AF/OS nº  1422/2024 (Quantidade)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</si>
</sst>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  <numFmt numFmtId="170" formatCode="00"/>
    <numFmt numFmtId="172" formatCode="#,##0.000"/>
    <numFmt numFmtId="175" formatCode="#,##0.000;[Red]#,##0.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5050"/>
        <bgColor indexed="1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</cellStyleXfs>
  <cellXfs count="107">
    <xf numFmtId="0" fontId="0" fillId="0" borderId="0" xfId="0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44" fontId="4" fillId="5" borderId="1" xfId="9" applyFont="1" applyFill="1" applyBorder="1" applyAlignment="1">
      <alignment vertical="center" wrapText="1"/>
    </xf>
    <xf numFmtId="44" fontId="4" fillId="5" borderId="1" xfId="1" applyNumberFormat="1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5" applyFont="1" applyFill="1" applyAlignment="1">
      <alignment vertical="center" wrapText="1"/>
    </xf>
    <xf numFmtId="44" fontId="4" fillId="0" borderId="0" xfId="1" applyNumberFormat="1" applyFont="1" applyAlignment="1">
      <alignment wrapText="1"/>
    </xf>
    <xf numFmtId="0" fontId="4" fillId="10" borderId="1" xfId="0" applyFont="1" applyFill="1" applyBorder="1" applyAlignment="1">
      <alignment horizontal="justify" vertical="top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4" fontId="4" fillId="0" borderId="0" xfId="9" applyFont="1" applyAlignment="1" applyProtection="1">
      <alignment wrapText="1"/>
      <protection locked="0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44" fontId="6" fillId="2" borderId="1" xfId="5" applyFont="1" applyFill="1" applyBorder="1" applyAlignment="1" applyProtection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4" fillId="0" borderId="8" xfId="0" applyFont="1" applyBorder="1" applyAlignment="1">
      <alignment horizontal="justify" vertical="justify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10" borderId="8" xfId="0" applyFont="1" applyFill="1" applyBorder="1" applyAlignment="1">
      <alignment horizontal="justify" vertical="top" wrapText="1"/>
    </xf>
    <xf numFmtId="0" fontId="4" fillId="1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0" fontId="4" fillId="9" borderId="8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8" borderId="1" xfId="5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170" fontId="4" fillId="10" borderId="8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44" fontId="4" fillId="10" borderId="1" xfId="5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justify" vertical="top" wrapText="1"/>
    </xf>
    <xf numFmtId="0" fontId="4" fillId="11" borderId="1" xfId="0" applyFont="1" applyFill="1" applyBorder="1" applyAlignment="1">
      <alignment horizontal="center" vertical="center"/>
    </xf>
    <xf numFmtId="44" fontId="4" fillId="11" borderId="1" xfId="5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44" fontId="4" fillId="0" borderId="1" xfId="5" applyFont="1" applyFill="1" applyBorder="1" applyAlignment="1">
      <alignment horizontal="center" vertical="center" wrapText="1"/>
    </xf>
    <xf numFmtId="170" fontId="4" fillId="0" borderId="8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4" fontId="4" fillId="9" borderId="1" xfId="5" applyFont="1" applyFill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4" xfId="1" applyFont="1" applyBorder="1" applyAlignment="1">
      <alignment vertical="center" wrapText="1"/>
    </xf>
    <xf numFmtId="0" fontId="4" fillId="14" borderId="1" xfId="0" applyFont="1" applyFill="1" applyBorder="1" applyAlignment="1">
      <alignment horizontal="center" vertical="center" wrapText="1"/>
    </xf>
    <xf numFmtId="166" fontId="4" fillId="15" borderId="1" xfId="0" applyNumberFormat="1" applyFont="1" applyFill="1" applyBorder="1" applyAlignment="1">
      <alignment horizontal="center" vertical="center" wrapText="1"/>
    </xf>
    <xf numFmtId="3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>
      <alignment horizontal="center" vertical="center" wrapText="1"/>
    </xf>
    <xf numFmtId="165" fontId="6" fillId="17" borderId="1" xfId="3" applyFont="1" applyFill="1" applyBorder="1" applyAlignment="1" applyProtection="1">
      <alignment horizontal="center" vertical="center" wrapText="1"/>
    </xf>
    <xf numFmtId="0" fontId="6" fillId="12" borderId="1" xfId="0" applyFont="1" applyFill="1" applyBorder="1" applyAlignment="1">
      <alignment horizontal="center" vertical="center" textRotation="90" wrapText="1"/>
    </xf>
    <xf numFmtId="0" fontId="6" fillId="12" borderId="1" xfId="0" applyFont="1" applyFill="1" applyBorder="1" applyAlignment="1">
      <alignment horizontal="center" vertical="center" wrapText="1" indent="1"/>
    </xf>
    <xf numFmtId="0" fontId="6" fillId="12" borderId="1" xfId="0" applyFont="1" applyFill="1" applyBorder="1" applyAlignment="1">
      <alignment horizontal="center" vertical="center" wrapText="1"/>
    </xf>
    <xf numFmtId="44" fontId="4" fillId="8" borderId="1" xfId="9" applyFont="1" applyFill="1" applyBorder="1" applyAlignment="1">
      <alignment horizontal="center" vertical="center" wrapText="1"/>
    </xf>
    <xf numFmtId="44" fontId="4" fillId="10" borderId="1" xfId="9" applyFont="1" applyFill="1" applyBorder="1" applyAlignment="1">
      <alignment horizontal="center" vertical="center" wrapText="1"/>
    </xf>
    <xf numFmtId="44" fontId="4" fillId="11" borderId="1" xfId="9" applyFont="1" applyFill="1" applyBorder="1" applyAlignment="1">
      <alignment horizontal="center" vertical="center" wrapText="1"/>
    </xf>
    <xf numFmtId="44" fontId="4" fillId="9" borderId="1" xfId="9" applyFont="1" applyFill="1" applyBorder="1" applyAlignment="1">
      <alignment horizontal="center" vertical="center" wrapText="1"/>
    </xf>
    <xf numFmtId="169" fontId="4" fillId="10" borderId="1" xfId="0" applyNumberFormat="1" applyFont="1" applyFill="1" applyBorder="1" applyAlignment="1">
      <alignment horizontal="center" vertical="center" wrapText="1"/>
    </xf>
    <xf numFmtId="44" fontId="4" fillId="10" borderId="1" xfId="5" applyFont="1" applyFill="1" applyBorder="1" applyAlignment="1">
      <alignment horizontal="center" vertical="center"/>
    </xf>
    <xf numFmtId="44" fontId="4" fillId="9" borderId="1" xfId="5" applyFont="1" applyFill="1" applyBorder="1" applyAlignment="1">
      <alignment horizontal="center" vertical="center"/>
    </xf>
    <xf numFmtId="0" fontId="4" fillId="6" borderId="8" xfId="1" applyFont="1" applyFill="1" applyBorder="1" applyAlignment="1" applyProtection="1">
      <alignment horizontal="left"/>
      <protection locked="0"/>
    </xf>
    <xf numFmtId="0" fontId="4" fillId="6" borderId="12" xfId="1" applyFont="1" applyFill="1" applyBorder="1" applyAlignment="1" applyProtection="1">
      <alignment horizontal="left"/>
      <protection locked="0"/>
    </xf>
    <xf numFmtId="168" fontId="4" fillId="6" borderId="2" xfId="1" applyNumberFormat="1" applyFont="1" applyFill="1" applyBorder="1" applyAlignment="1" applyProtection="1">
      <alignment horizontal="right"/>
      <protection locked="0"/>
    </xf>
    <xf numFmtId="0" fontId="4" fillId="6" borderId="9" xfId="1" applyFont="1" applyFill="1" applyBorder="1" applyAlignment="1" applyProtection="1">
      <alignment horizontal="left"/>
      <protection locked="0"/>
    </xf>
    <xf numFmtId="0" fontId="4" fillId="6" borderId="0" xfId="1" applyFont="1" applyFill="1" applyAlignment="1" applyProtection="1">
      <alignment horizontal="left"/>
      <protection locked="0"/>
    </xf>
    <xf numFmtId="168" fontId="4" fillId="6" borderId="3" xfId="1" applyNumberFormat="1" applyFont="1" applyFill="1" applyBorder="1" applyAlignment="1" applyProtection="1">
      <alignment horizontal="right"/>
      <protection locked="0"/>
    </xf>
    <xf numFmtId="2" fontId="4" fillId="6" borderId="3" xfId="1" applyNumberFormat="1" applyFont="1" applyFill="1" applyBorder="1" applyAlignment="1">
      <alignment horizontal="right"/>
    </xf>
    <xf numFmtId="0" fontId="4" fillId="6" borderId="10" xfId="1" applyFont="1" applyFill="1" applyBorder="1" applyAlignment="1" applyProtection="1">
      <alignment horizontal="left"/>
      <protection locked="0"/>
    </xf>
    <xf numFmtId="0" fontId="4" fillId="6" borderId="11" xfId="1" applyFont="1" applyFill="1" applyBorder="1" applyAlignment="1" applyProtection="1">
      <alignment horizontal="left"/>
      <protection locked="0"/>
    </xf>
    <xf numFmtId="10" fontId="4" fillId="6" borderId="4" xfId="13" applyNumberFormat="1" applyFont="1" applyFill="1" applyBorder="1" applyAlignment="1" applyProtection="1">
      <alignment horizontal="right"/>
      <protection locked="0"/>
    </xf>
    <xf numFmtId="166" fontId="4" fillId="0" borderId="0" xfId="1" applyNumberFormat="1" applyFont="1" applyAlignment="1" applyProtection="1">
      <alignment wrapText="1"/>
      <protection locked="0"/>
    </xf>
    <xf numFmtId="3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4" fillId="6" borderId="5" xfId="1" applyFont="1" applyFill="1" applyBorder="1" applyAlignment="1" applyProtection="1">
      <alignment horizontal="left"/>
      <protection locked="0"/>
    </xf>
    <xf numFmtId="0" fontId="4" fillId="6" borderId="6" xfId="1" applyFont="1" applyFill="1" applyBorder="1" applyAlignment="1" applyProtection="1">
      <alignment horizontal="left"/>
      <protection locked="0"/>
    </xf>
    <xf numFmtId="0" fontId="4" fillId="6" borderId="7" xfId="1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72" fontId="4" fillId="0" borderId="1" xfId="1" applyNumberFormat="1" applyFont="1" applyBorder="1" applyAlignment="1" applyProtection="1">
      <alignment horizontal="center" vertical="center" wrapText="1"/>
      <protection locked="0"/>
    </xf>
    <xf numFmtId="175" fontId="4" fillId="15" borderId="1" xfId="0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04">
    <cellStyle name="Moeda" xfId="5" builtinId="4"/>
    <cellStyle name="Moeda 2" xfId="6" xr:uid="{00000000-0005-0000-0000-000001000000}"/>
    <cellStyle name="Moeda 2 2" xfId="10" xr:uid="{00000000-0005-0000-0000-000002000000}"/>
    <cellStyle name="Moeda 3" xfId="9" xr:uid="{00000000-0005-0000-0000-000003000000}"/>
    <cellStyle name="Moeda 3 2" xfId="17" xr:uid="{00000000-0005-0000-0000-000004000000}"/>
    <cellStyle name="Moeda 3 2 2" xfId="29" xr:uid="{00000000-0005-0000-0000-000005000000}"/>
    <cellStyle name="Moeda 3 2 2 2" xfId="77" xr:uid="{00000000-0005-0000-0000-000006000000}"/>
    <cellStyle name="Moeda 3 2 3" xfId="41" xr:uid="{00000000-0005-0000-0000-000007000000}"/>
    <cellStyle name="Moeda 3 2 3 2" xfId="89" xr:uid="{00000000-0005-0000-0000-000008000000}"/>
    <cellStyle name="Moeda 3 2 4" xfId="53" xr:uid="{00000000-0005-0000-0000-000009000000}"/>
    <cellStyle name="Moeda 3 2 4 2" xfId="101" xr:uid="{00000000-0005-0000-0000-00000A000000}"/>
    <cellStyle name="Moeda 3 2 5" xfId="65" xr:uid="{00000000-0005-0000-0000-00000B000000}"/>
    <cellStyle name="Moeda 3 3" xfId="23" xr:uid="{00000000-0005-0000-0000-00000C000000}"/>
    <cellStyle name="Moeda 3 3 2" xfId="71" xr:uid="{00000000-0005-0000-0000-00000D000000}"/>
    <cellStyle name="Moeda 3 4" xfId="35" xr:uid="{00000000-0005-0000-0000-00000E000000}"/>
    <cellStyle name="Moeda 3 4 2" xfId="83" xr:uid="{00000000-0005-0000-0000-00000F000000}"/>
    <cellStyle name="Moeda 3 5" xfId="47" xr:uid="{00000000-0005-0000-0000-000010000000}"/>
    <cellStyle name="Moeda 3 5 2" xfId="95" xr:uid="{00000000-0005-0000-0000-000011000000}"/>
    <cellStyle name="Moeda 3 6" xfId="59" xr:uid="{00000000-0005-0000-0000-000012000000}"/>
    <cellStyle name="Moeda 4" xfId="14" xr:uid="{00000000-0005-0000-0000-000013000000}"/>
    <cellStyle name="Moeda 4 2" xfId="26" xr:uid="{00000000-0005-0000-0000-000014000000}"/>
    <cellStyle name="Moeda 4 2 2" xfId="74" xr:uid="{00000000-0005-0000-0000-000015000000}"/>
    <cellStyle name="Moeda 4 3" xfId="38" xr:uid="{00000000-0005-0000-0000-000016000000}"/>
    <cellStyle name="Moeda 4 3 2" xfId="86" xr:uid="{00000000-0005-0000-0000-000017000000}"/>
    <cellStyle name="Moeda 4 4" xfId="50" xr:uid="{00000000-0005-0000-0000-000018000000}"/>
    <cellStyle name="Moeda 4 4 2" xfId="98" xr:uid="{00000000-0005-0000-0000-000019000000}"/>
    <cellStyle name="Moeda 4 5" xfId="62" xr:uid="{00000000-0005-0000-0000-00001A000000}"/>
    <cellStyle name="Moeda 5" xfId="20" xr:uid="{00000000-0005-0000-0000-00001B000000}"/>
    <cellStyle name="Moeda 5 2" xfId="68" xr:uid="{00000000-0005-0000-0000-00001C000000}"/>
    <cellStyle name="Moeda 6" xfId="32" xr:uid="{00000000-0005-0000-0000-00001D000000}"/>
    <cellStyle name="Moeda 6 2" xfId="80" xr:uid="{00000000-0005-0000-0000-00001E000000}"/>
    <cellStyle name="Moeda 7" xfId="44" xr:uid="{00000000-0005-0000-0000-00001F000000}"/>
    <cellStyle name="Moeda 7 2" xfId="92" xr:uid="{00000000-0005-0000-0000-000020000000}"/>
    <cellStyle name="Moeda 8" xfId="56" xr:uid="{00000000-0005-0000-0000-000021000000}"/>
    <cellStyle name="Normal" xfId="0" builtinId="0"/>
    <cellStyle name="Normal 2" xfId="1" xr:uid="{00000000-0005-0000-0000-000023000000}"/>
    <cellStyle name="Porcentagem 2" xfId="13" xr:uid="{00000000-0005-0000-0000-000024000000}"/>
    <cellStyle name="Separador de milhares 2" xfId="2" xr:uid="{00000000-0005-0000-0000-000025000000}"/>
    <cellStyle name="Separador de milhares 2 2" xfId="8" xr:uid="{00000000-0005-0000-0000-000026000000}"/>
    <cellStyle name="Separador de milhares 2 2 2" xfId="12" xr:uid="{00000000-0005-0000-0000-000027000000}"/>
    <cellStyle name="Separador de milhares 2 2 2 2" xfId="19" xr:uid="{00000000-0005-0000-0000-000028000000}"/>
    <cellStyle name="Separador de milhares 2 2 2 2 2" xfId="31" xr:uid="{00000000-0005-0000-0000-000029000000}"/>
    <cellStyle name="Separador de milhares 2 2 2 2 2 2" xfId="79" xr:uid="{00000000-0005-0000-0000-00002A000000}"/>
    <cellStyle name="Separador de milhares 2 2 2 2 3" xfId="43" xr:uid="{00000000-0005-0000-0000-00002B000000}"/>
    <cellStyle name="Separador de milhares 2 2 2 2 3 2" xfId="91" xr:uid="{00000000-0005-0000-0000-00002C000000}"/>
    <cellStyle name="Separador de milhares 2 2 2 2 4" xfId="55" xr:uid="{00000000-0005-0000-0000-00002D000000}"/>
    <cellStyle name="Separador de milhares 2 2 2 2 4 2" xfId="103" xr:uid="{00000000-0005-0000-0000-00002E000000}"/>
    <cellStyle name="Separador de milhares 2 2 2 2 5" xfId="67" xr:uid="{00000000-0005-0000-0000-00002F000000}"/>
    <cellStyle name="Separador de milhares 2 2 2 3" xfId="25" xr:uid="{00000000-0005-0000-0000-000030000000}"/>
    <cellStyle name="Separador de milhares 2 2 2 3 2" xfId="73" xr:uid="{00000000-0005-0000-0000-000031000000}"/>
    <cellStyle name="Separador de milhares 2 2 2 4" xfId="37" xr:uid="{00000000-0005-0000-0000-000032000000}"/>
    <cellStyle name="Separador de milhares 2 2 2 4 2" xfId="85" xr:uid="{00000000-0005-0000-0000-000033000000}"/>
    <cellStyle name="Separador de milhares 2 2 2 5" xfId="49" xr:uid="{00000000-0005-0000-0000-000034000000}"/>
    <cellStyle name="Separador de milhares 2 2 2 5 2" xfId="97" xr:uid="{00000000-0005-0000-0000-000035000000}"/>
    <cellStyle name="Separador de milhares 2 2 2 6" xfId="61" xr:uid="{00000000-0005-0000-0000-000036000000}"/>
    <cellStyle name="Separador de milhares 2 2 3" xfId="16" xr:uid="{00000000-0005-0000-0000-000037000000}"/>
    <cellStyle name="Separador de milhares 2 2 3 2" xfId="28" xr:uid="{00000000-0005-0000-0000-000038000000}"/>
    <cellStyle name="Separador de milhares 2 2 3 2 2" xfId="76" xr:uid="{00000000-0005-0000-0000-000039000000}"/>
    <cellStyle name="Separador de milhares 2 2 3 3" xfId="40" xr:uid="{00000000-0005-0000-0000-00003A000000}"/>
    <cellStyle name="Separador de milhares 2 2 3 3 2" xfId="88" xr:uid="{00000000-0005-0000-0000-00003B000000}"/>
    <cellStyle name="Separador de milhares 2 2 3 4" xfId="52" xr:uid="{00000000-0005-0000-0000-00003C000000}"/>
    <cellStyle name="Separador de milhares 2 2 3 4 2" xfId="100" xr:uid="{00000000-0005-0000-0000-00003D000000}"/>
    <cellStyle name="Separador de milhares 2 2 3 5" xfId="64" xr:uid="{00000000-0005-0000-0000-00003E000000}"/>
    <cellStyle name="Separador de milhares 2 2 4" xfId="22" xr:uid="{00000000-0005-0000-0000-00003F000000}"/>
    <cellStyle name="Separador de milhares 2 2 4 2" xfId="70" xr:uid="{00000000-0005-0000-0000-000040000000}"/>
    <cellStyle name="Separador de milhares 2 2 5" xfId="34" xr:uid="{00000000-0005-0000-0000-000041000000}"/>
    <cellStyle name="Separador de milhares 2 2 5 2" xfId="82" xr:uid="{00000000-0005-0000-0000-000042000000}"/>
    <cellStyle name="Separador de milhares 2 2 6" xfId="46" xr:uid="{00000000-0005-0000-0000-000043000000}"/>
    <cellStyle name="Separador de milhares 2 2 6 2" xfId="94" xr:uid="{00000000-0005-0000-0000-000044000000}"/>
    <cellStyle name="Separador de milhares 2 2 7" xfId="58" xr:uid="{00000000-0005-0000-0000-000045000000}"/>
    <cellStyle name="Separador de milhares 2 3" xfId="7" xr:uid="{00000000-0005-0000-0000-000046000000}"/>
    <cellStyle name="Separador de milhares 2 3 2" xfId="11" xr:uid="{00000000-0005-0000-0000-000047000000}"/>
    <cellStyle name="Separador de milhares 2 3 2 2" xfId="18" xr:uid="{00000000-0005-0000-0000-000048000000}"/>
    <cellStyle name="Separador de milhares 2 3 2 2 2" xfId="30" xr:uid="{00000000-0005-0000-0000-000049000000}"/>
    <cellStyle name="Separador de milhares 2 3 2 2 2 2" xfId="78" xr:uid="{00000000-0005-0000-0000-00004A000000}"/>
    <cellStyle name="Separador de milhares 2 3 2 2 3" xfId="42" xr:uid="{00000000-0005-0000-0000-00004B000000}"/>
    <cellStyle name="Separador de milhares 2 3 2 2 3 2" xfId="90" xr:uid="{00000000-0005-0000-0000-00004C000000}"/>
    <cellStyle name="Separador de milhares 2 3 2 2 4" xfId="54" xr:uid="{00000000-0005-0000-0000-00004D000000}"/>
    <cellStyle name="Separador de milhares 2 3 2 2 4 2" xfId="102" xr:uid="{00000000-0005-0000-0000-00004E000000}"/>
    <cellStyle name="Separador de milhares 2 3 2 2 5" xfId="66" xr:uid="{00000000-0005-0000-0000-00004F000000}"/>
    <cellStyle name="Separador de milhares 2 3 2 3" xfId="24" xr:uid="{00000000-0005-0000-0000-000050000000}"/>
    <cellStyle name="Separador de milhares 2 3 2 3 2" xfId="72" xr:uid="{00000000-0005-0000-0000-000051000000}"/>
    <cellStyle name="Separador de milhares 2 3 2 4" xfId="36" xr:uid="{00000000-0005-0000-0000-000052000000}"/>
    <cellStyle name="Separador de milhares 2 3 2 4 2" xfId="84" xr:uid="{00000000-0005-0000-0000-000053000000}"/>
    <cellStyle name="Separador de milhares 2 3 2 5" xfId="48" xr:uid="{00000000-0005-0000-0000-000054000000}"/>
    <cellStyle name="Separador de milhares 2 3 2 5 2" xfId="96" xr:uid="{00000000-0005-0000-0000-000055000000}"/>
    <cellStyle name="Separador de milhares 2 3 2 6" xfId="60" xr:uid="{00000000-0005-0000-0000-000056000000}"/>
    <cellStyle name="Separador de milhares 2 3 3" xfId="15" xr:uid="{00000000-0005-0000-0000-000057000000}"/>
    <cellStyle name="Separador de milhares 2 3 3 2" xfId="27" xr:uid="{00000000-0005-0000-0000-000058000000}"/>
    <cellStyle name="Separador de milhares 2 3 3 2 2" xfId="75" xr:uid="{00000000-0005-0000-0000-000059000000}"/>
    <cellStyle name="Separador de milhares 2 3 3 3" xfId="39" xr:uid="{00000000-0005-0000-0000-00005A000000}"/>
    <cellStyle name="Separador de milhares 2 3 3 3 2" xfId="87" xr:uid="{00000000-0005-0000-0000-00005B000000}"/>
    <cellStyle name="Separador de milhares 2 3 3 4" xfId="51" xr:uid="{00000000-0005-0000-0000-00005C000000}"/>
    <cellStyle name="Separador de milhares 2 3 3 4 2" xfId="99" xr:uid="{00000000-0005-0000-0000-00005D000000}"/>
    <cellStyle name="Separador de milhares 2 3 3 5" xfId="63" xr:uid="{00000000-0005-0000-0000-00005E000000}"/>
    <cellStyle name="Separador de milhares 2 3 4" xfId="21" xr:uid="{00000000-0005-0000-0000-00005F000000}"/>
    <cellStyle name="Separador de milhares 2 3 4 2" xfId="69" xr:uid="{00000000-0005-0000-0000-000060000000}"/>
    <cellStyle name="Separador de milhares 2 3 5" xfId="33" xr:uid="{00000000-0005-0000-0000-000061000000}"/>
    <cellStyle name="Separador de milhares 2 3 5 2" xfId="81" xr:uid="{00000000-0005-0000-0000-000062000000}"/>
    <cellStyle name="Separador de milhares 2 3 6" xfId="45" xr:uid="{00000000-0005-0000-0000-000063000000}"/>
    <cellStyle name="Separador de milhares 2 3 6 2" xfId="93" xr:uid="{00000000-0005-0000-0000-000064000000}"/>
    <cellStyle name="Separador de milhares 2 3 7" xfId="57" xr:uid="{00000000-0005-0000-0000-000065000000}"/>
    <cellStyle name="Separador de milhares 3" xfId="3" xr:uid="{00000000-0005-0000-0000-000066000000}"/>
    <cellStyle name="Título 5" xfId="4" xr:uid="{00000000-0005-0000-0000-000067000000}"/>
  </cellStyles>
  <dxfs count="4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99"/>
        </patternFill>
      </fill>
    </dxf>
  </dxfs>
  <tableStyles count="1" defaultTableStyle="TableStyleMedium9" defaultPivotStyle="PivotStyleLight16">
    <tableStyle name="Invisible" pivot="0" table="0" count="0" xr9:uid="{00000000-0011-0000-FFFF-FFFF00000000}"/>
  </tableStyles>
  <colors>
    <mruColors>
      <color rgb="FFFF5050"/>
      <color rgb="FF66FF99"/>
      <color rgb="FFFF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opLeftCell="A16" zoomScale="80" zoomScaleNormal="80" workbookViewId="0">
      <selection activeCell="K27" sqref="K27"/>
    </sheetView>
  </sheetViews>
  <sheetFormatPr defaultColWidth="9.7109375" defaultRowHeight="15" x14ac:dyDescent="0.25"/>
  <cols>
    <col min="1" max="1" width="7.140625" style="1" customWidth="1"/>
    <col min="2" max="2" width="23.42578125" style="1" customWidth="1"/>
    <col min="3" max="3" width="6" style="12" bestFit="1" customWidth="1"/>
    <col min="4" max="4" width="48.42578125" style="1" customWidth="1"/>
    <col min="5" max="5" width="19" style="1" customWidth="1"/>
    <col min="6" max="6" width="9.28515625" style="1" customWidth="1"/>
    <col min="7" max="7" width="12" style="1" bestFit="1" customWidth="1"/>
    <col min="8" max="8" width="8.85546875" style="1" customWidth="1"/>
    <col min="9" max="9" width="10.140625" style="1" bestFit="1" customWidth="1"/>
    <col min="10" max="10" width="13.42578125" style="16" bestFit="1" customWidth="1"/>
    <col min="11" max="11" width="11.5703125" style="4" customWidth="1"/>
    <col min="12" max="12" width="11" style="13" customWidth="1"/>
    <col min="13" max="13" width="10.85546875" style="5" customWidth="1"/>
    <col min="14" max="14" width="13.85546875" style="4" customWidth="1"/>
    <col min="15" max="15" width="12.7109375" style="4" customWidth="1"/>
    <col min="16" max="16" width="14.85546875" style="4" customWidth="1"/>
    <col min="17" max="17" width="14.140625" style="4" customWidth="1"/>
    <col min="18" max="18" width="15.28515625" style="4" customWidth="1"/>
    <col min="19" max="19" width="15.42578125" style="4" customWidth="1"/>
    <col min="20" max="20" width="17.85546875" style="4" customWidth="1"/>
    <col min="21" max="21" width="14" style="4" customWidth="1"/>
    <col min="22" max="22" width="13.5703125" style="4" customWidth="1"/>
    <col min="23" max="23" width="14.5703125" style="4" customWidth="1"/>
    <col min="24" max="24" width="14" style="4" customWidth="1"/>
    <col min="25" max="25" width="14.28515625" style="4" customWidth="1"/>
    <col min="26" max="31" width="12.7109375" style="2" customWidth="1"/>
    <col min="32" max="16384" width="9.7109375" style="2"/>
  </cols>
  <sheetData>
    <row r="1" spans="1:31" ht="31.7" customHeight="1" x14ac:dyDescent="0.25">
      <c r="A1" s="88" t="s">
        <v>37</v>
      </c>
      <c r="B1" s="88"/>
      <c r="C1" s="88"/>
      <c r="D1" s="88" t="s">
        <v>36</v>
      </c>
      <c r="E1" s="88"/>
      <c r="F1" s="88"/>
      <c r="G1" s="88"/>
      <c r="H1" s="88"/>
      <c r="I1" s="88"/>
      <c r="J1" s="88"/>
      <c r="K1" s="88" t="s">
        <v>38</v>
      </c>
      <c r="L1" s="88"/>
      <c r="M1" s="88"/>
      <c r="N1" s="87" t="s">
        <v>39</v>
      </c>
      <c r="O1" s="87" t="s">
        <v>39</v>
      </c>
      <c r="P1" s="87" t="s">
        <v>39</v>
      </c>
      <c r="Q1" s="87" t="s">
        <v>39</v>
      </c>
      <c r="R1" s="87" t="s">
        <v>39</v>
      </c>
      <c r="S1" s="87" t="s">
        <v>39</v>
      </c>
      <c r="T1" s="87" t="s">
        <v>39</v>
      </c>
      <c r="U1" s="87" t="s">
        <v>39</v>
      </c>
      <c r="V1" s="87" t="s">
        <v>39</v>
      </c>
      <c r="W1" s="87" t="s">
        <v>39</v>
      </c>
      <c r="X1" s="87" t="s">
        <v>39</v>
      </c>
      <c r="Y1" s="87" t="s">
        <v>39</v>
      </c>
      <c r="Z1" s="87" t="s">
        <v>39</v>
      </c>
      <c r="AA1" s="87" t="s">
        <v>39</v>
      </c>
      <c r="AB1" s="87" t="s">
        <v>39</v>
      </c>
      <c r="AC1" s="87" t="s">
        <v>39</v>
      </c>
      <c r="AD1" s="87" t="s">
        <v>39</v>
      </c>
      <c r="AE1" s="87" t="s">
        <v>39</v>
      </c>
    </row>
    <row r="2" spans="1:31" ht="24" customHeight="1" x14ac:dyDescent="0.25">
      <c r="A2" s="88" t="s">
        <v>103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3" customFormat="1" ht="45" x14ac:dyDescent="0.2">
      <c r="A3" s="23" t="s">
        <v>40</v>
      </c>
      <c r="B3" s="23" t="s">
        <v>27</v>
      </c>
      <c r="C3" s="23" t="s">
        <v>3</v>
      </c>
      <c r="D3" s="23" t="s">
        <v>28</v>
      </c>
      <c r="E3" s="23" t="s">
        <v>29</v>
      </c>
      <c r="F3" s="23" t="s">
        <v>42</v>
      </c>
      <c r="G3" s="23" t="s">
        <v>30</v>
      </c>
      <c r="H3" s="23" t="s">
        <v>4</v>
      </c>
      <c r="I3" s="23" t="s">
        <v>31</v>
      </c>
      <c r="J3" s="23" t="s">
        <v>41</v>
      </c>
      <c r="K3" s="10" t="s">
        <v>6</v>
      </c>
      <c r="L3" s="11" t="s">
        <v>0</v>
      </c>
      <c r="M3" s="9" t="s">
        <v>2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9" t="s">
        <v>1</v>
      </c>
      <c r="AD3" s="9" t="s">
        <v>1</v>
      </c>
      <c r="AE3" s="9" t="s">
        <v>1</v>
      </c>
    </row>
    <row r="4" spans="1:31" ht="50.1" customHeight="1" x14ac:dyDescent="0.25">
      <c r="A4" s="93">
        <v>1</v>
      </c>
      <c r="B4" s="94" t="s">
        <v>80</v>
      </c>
      <c r="C4" s="33">
        <v>1</v>
      </c>
      <c r="D4" s="34" t="s">
        <v>88</v>
      </c>
      <c r="E4" s="35" t="s">
        <v>45</v>
      </c>
      <c r="F4" s="36" t="s">
        <v>46</v>
      </c>
      <c r="G4" s="37" t="s">
        <v>17</v>
      </c>
      <c r="H4" s="36" t="s">
        <v>14</v>
      </c>
      <c r="I4" s="36" t="s">
        <v>15</v>
      </c>
      <c r="J4" s="38">
        <v>100</v>
      </c>
      <c r="K4" s="61">
        <f>20</f>
        <v>20</v>
      </c>
      <c r="L4" s="62">
        <f>K4-(SUM(N4:AE4))</f>
        <v>20</v>
      </c>
      <c r="M4" s="63" t="str">
        <f>IF(L4&lt;0,"ATENÇÃO","OK")</f>
        <v>OK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7" customHeight="1" x14ac:dyDescent="0.25">
      <c r="A5" s="93"/>
      <c r="B5" s="95"/>
      <c r="C5" s="33">
        <v>2</v>
      </c>
      <c r="D5" s="39" t="s">
        <v>89</v>
      </c>
      <c r="E5" s="40" t="s">
        <v>47</v>
      </c>
      <c r="F5" s="41" t="s">
        <v>46</v>
      </c>
      <c r="G5" s="37" t="s">
        <v>18</v>
      </c>
      <c r="H5" s="41" t="s">
        <v>14</v>
      </c>
      <c r="I5" s="36" t="s">
        <v>15</v>
      </c>
      <c r="J5" s="38">
        <v>70.44</v>
      </c>
      <c r="K5" s="61">
        <f>5</f>
        <v>5</v>
      </c>
      <c r="L5" s="62">
        <f t="shared" ref="L5:L26" si="0">K5-(SUM(N5:AE5))</f>
        <v>5</v>
      </c>
      <c r="M5" s="63" t="str">
        <f t="shared" ref="M5:M26" si="1">IF(L5&lt;0,"ATENÇÃO","OK")</f>
        <v>OK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50.1" customHeight="1" x14ac:dyDescent="0.25">
      <c r="A6" s="93"/>
      <c r="B6" s="95"/>
      <c r="C6" s="33">
        <v>3</v>
      </c>
      <c r="D6" s="34" t="s">
        <v>90</v>
      </c>
      <c r="E6" s="40" t="s">
        <v>47</v>
      </c>
      <c r="F6" s="36" t="s">
        <v>46</v>
      </c>
      <c r="G6" s="37" t="s">
        <v>20</v>
      </c>
      <c r="H6" s="36" t="s">
        <v>14</v>
      </c>
      <c r="I6" s="36" t="s">
        <v>15</v>
      </c>
      <c r="J6" s="38">
        <v>70.819999999999993</v>
      </c>
      <c r="K6" s="61">
        <f>5</f>
        <v>5</v>
      </c>
      <c r="L6" s="62">
        <f t="shared" si="0"/>
        <v>5</v>
      </c>
      <c r="M6" s="63" t="str">
        <f t="shared" si="1"/>
        <v>OK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50.1" customHeight="1" x14ac:dyDescent="0.25">
      <c r="A7" s="93"/>
      <c r="B7" s="95"/>
      <c r="C7" s="33">
        <v>4</v>
      </c>
      <c r="D7" s="34" t="s">
        <v>91</v>
      </c>
      <c r="E7" s="40" t="s">
        <v>47</v>
      </c>
      <c r="F7" s="36" t="s">
        <v>46</v>
      </c>
      <c r="G7" s="37" t="s">
        <v>21</v>
      </c>
      <c r="H7" s="36" t="s">
        <v>14</v>
      </c>
      <c r="I7" s="36" t="s">
        <v>15</v>
      </c>
      <c r="J7" s="38">
        <v>135.66999999999999</v>
      </c>
      <c r="K7" s="61">
        <f>100</f>
        <v>100</v>
      </c>
      <c r="L7" s="62">
        <f t="shared" si="0"/>
        <v>100</v>
      </c>
      <c r="M7" s="63" t="str">
        <f t="shared" si="1"/>
        <v>OK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50.1" customHeight="1" x14ac:dyDescent="0.25">
      <c r="A8" s="93"/>
      <c r="B8" s="96"/>
      <c r="C8" s="33">
        <v>5</v>
      </c>
      <c r="D8" s="34" t="s">
        <v>92</v>
      </c>
      <c r="E8" s="40" t="s">
        <v>47</v>
      </c>
      <c r="F8" s="36" t="s">
        <v>46</v>
      </c>
      <c r="G8" s="37" t="s">
        <v>22</v>
      </c>
      <c r="H8" s="36" t="s">
        <v>14</v>
      </c>
      <c r="I8" s="36" t="s">
        <v>15</v>
      </c>
      <c r="J8" s="38">
        <v>111.99</v>
      </c>
      <c r="K8" s="61">
        <f>100</f>
        <v>100</v>
      </c>
      <c r="L8" s="62">
        <f t="shared" si="0"/>
        <v>100</v>
      </c>
      <c r="M8" s="63" t="str">
        <f t="shared" si="1"/>
        <v>OK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50.1" customHeight="1" x14ac:dyDescent="0.25">
      <c r="A9" s="89">
        <v>2</v>
      </c>
      <c r="B9" s="90" t="s">
        <v>81</v>
      </c>
      <c r="C9" s="42">
        <v>6</v>
      </c>
      <c r="D9" s="18" t="s">
        <v>93</v>
      </c>
      <c r="E9" s="20" t="s">
        <v>48</v>
      </c>
      <c r="F9" s="43" t="s">
        <v>49</v>
      </c>
      <c r="G9" s="43" t="s">
        <v>19</v>
      </c>
      <c r="H9" s="43" t="s">
        <v>14</v>
      </c>
      <c r="I9" s="43" t="s">
        <v>15</v>
      </c>
      <c r="J9" s="44">
        <v>130</v>
      </c>
      <c r="K9" s="61">
        <f>500</f>
        <v>500</v>
      </c>
      <c r="L9" s="62">
        <f t="shared" si="0"/>
        <v>500</v>
      </c>
      <c r="M9" s="63" t="str">
        <f t="shared" si="1"/>
        <v>OK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50.1" customHeight="1" x14ac:dyDescent="0.25">
      <c r="A10" s="89"/>
      <c r="B10" s="91"/>
      <c r="C10" s="42">
        <v>7</v>
      </c>
      <c r="D10" s="18" t="s">
        <v>94</v>
      </c>
      <c r="E10" s="20" t="s">
        <v>48</v>
      </c>
      <c r="F10" s="43" t="s">
        <v>49</v>
      </c>
      <c r="G10" s="43" t="s">
        <v>19</v>
      </c>
      <c r="H10" s="43" t="s">
        <v>14</v>
      </c>
      <c r="I10" s="43" t="s">
        <v>15</v>
      </c>
      <c r="J10" s="44">
        <v>158</v>
      </c>
      <c r="K10" s="61">
        <f>300</f>
        <v>300</v>
      </c>
      <c r="L10" s="62">
        <f t="shared" si="0"/>
        <v>300</v>
      </c>
      <c r="M10" s="63" t="str">
        <f t="shared" si="1"/>
        <v>OK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50.1" customHeight="1" x14ac:dyDescent="0.25">
      <c r="A11" s="89"/>
      <c r="B11" s="91"/>
      <c r="C11" s="42">
        <v>8</v>
      </c>
      <c r="D11" s="45" t="s">
        <v>95</v>
      </c>
      <c r="E11" s="20" t="s">
        <v>48</v>
      </c>
      <c r="F11" s="43" t="s">
        <v>49</v>
      </c>
      <c r="G11" s="43" t="s">
        <v>23</v>
      </c>
      <c r="H11" s="43" t="s">
        <v>24</v>
      </c>
      <c r="I11" s="46" t="s">
        <v>15</v>
      </c>
      <c r="J11" s="44">
        <v>380</v>
      </c>
      <c r="K11" s="61">
        <f>20</f>
        <v>20</v>
      </c>
      <c r="L11" s="62">
        <f t="shared" si="0"/>
        <v>20</v>
      </c>
      <c r="M11" s="63" t="str">
        <f t="shared" si="1"/>
        <v>OK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50.1" customHeight="1" x14ac:dyDescent="0.25">
      <c r="A12" s="89"/>
      <c r="B12" s="91"/>
      <c r="C12" s="42">
        <v>9</v>
      </c>
      <c r="D12" s="45" t="s">
        <v>96</v>
      </c>
      <c r="E12" s="20" t="s">
        <v>48</v>
      </c>
      <c r="F12" s="43" t="s">
        <v>49</v>
      </c>
      <c r="G12" s="43" t="s">
        <v>23</v>
      </c>
      <c r="H12" s="43" t="s">
        <v>24</v>
      </c>
      <c r="I12" s="46" t="s">
        <v>15</v>
      </c>
      <c r="J12" s="47">
        <v>293.85000000000002</v>
      </c>
      <c r="K12" s="61">
        <f>10</f>
        <v>10</v>
      </c>
      <c r="L12" s="62">
        <f t="shared" si="0"/>
        <v>10</v>
      </c>
      <c r="M12" s="63" t="str">
        <f t="shared" si="1"/>
        <v>OK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34.5" customHeight="1" x14ac:dyDescent="0.25">
      <c r="A13" s="89"/>
      <c r="B13" s="91"/>
      <c r="C13" s="42">
        <v>10</v>
      </c>
      <c r="D13" s="18" t="s">
        <v>33</v>
      </c>
      <c r="E13" s="20" t="s">
        <v>48</v>
      </c>
      <c r="F13" s="48" t="s">
        <v>50</v>
      </c>
      <c r="G13" s="43" t="s">
        <v>32</v>
      </c>
      <c r="H13" s="43" t="s">
        <v>14</v>
      </c>
      <c r="I13" s="43" t="s">
        <v>16</v>
      </c>
      <c r="J13" s="47">
        <v>24</v>
      </c>
      <c r="K13" s="61">
        <f>300</f>
        <v>300</v>
      </c>
      <c r="L13" s="62">
        <f t="shared" si="0"/>
        <v>300</v>
      </c>
      <c r="M13" s="63" t="str">
        <f t="shared" si="1"/>
        <v>OK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39.75" customHeight="1" x14ac:dyDescent="0.25">
      <c r="A14" s="89"/>
      <c r="B14" s="92"/>
      <c r="C14" s="42">
        <v>11</v>
      </c>
      <c r="D14" s="18" t="s">
        <v>34</v>
      </c>
      <c r="E14" s="20" t="s">
        <v>48</v>
      </c>
      <c r="F14" s="48" t="s">
        <v>50</v>
      </c>
      <c r="G14" s="43" t="s">
        <v>32</v>
      </c>
      <c r="H14" s="43" t="s">
        <v>14</v>
      </c>
      <c r="I14" s="43" t="s">
        <v>16</v>
      </c>
      <c r="J14" s="47">
        <v>25</v>
      </c>
      <c r="K14" s="61">
        <f>300</f>
        <v>300</v>
      </c>
      <c r="L14" s="62">
        <f t="shared" si="0"/>
        <v>300</v>
      </c>
      <c r="M14" s="63" t="str">
        <f t="shared" si="1"/>
        <v>OK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50.1" customHeight="1" x14ac:dyDescent="0.25">
      <c r="A15" s="55">
        <v>3</v>
      </c>
      <c r="B15" s="56" t="s">
        <v>82</v>
      </c>
      <c r="C15" s="33">
        <v>12</v>
      </c>
      <c r="D15" s="49" t="s">
        <v>97</v>
      </c>
      <c r="E15" s="32" t="s">
        <v>51</v>
      </c>
      <c r="F15" s="37" t="s">
        <v>52</v>
      </c>
      <c r="G15" s="37" t="s">
        <v>25</v>
      </c>
      <c r="H15" s="37" t="s">
        <v>14</v>
      </c>
      <c r="I15" s="37" t="s">
        <v>15</v>
      </c>
      <c r="J15" s="50">
        <v>50.15</v>
      </c>
      <c r="K15" s="61">
        <f>1000</f>
        <v>1000</v>
      </c>
      <c r="L15" s="62">
        <f t="shared" si="0"/>
        <v>1000</v>
      </c>
      <c r="M15" s="63" t="str">
        <f t="shared" si="1"/>
        <v>OK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65.25" customHeight="1" x14ac:dyDescent="0.25">
      <c r="A16" s="89">
        <v>4</v>
      </c>
      <c r="B16" s="90" t="s">
        <v>83</v>
      </c>
      <c r="C16" s="42">
        <v>13</v>
      </c>
      <c r="D16" s="18" t="s">
        <v>98</v>
      </c>
      <c r="E16" s="20" t="s">
        <v>53</v>
      </c>
      <c r="F16" s="48" t="s">
        <v>54</v>
      </c>
      <c r="G16" s="43" t="s">
        <v>26</v>
      </c>
      <c r="H16" s="43" t="s">
        <v>14</v>
      </c>
      <c r="I16" s="43" t="s">
        <v>15</v>
      </c>
      <c r="J16" s="47">
        <v>90</v>
      </c>
      <c r="K16" s="61">
        <f>200</f>
        <v>200</v>
      </c>
      <c r="L16" s="62">
        <f t="shared" si="0"/>
        <v>200</v>
      </c>
      <c r="M16" s="63" t="str">
        <f t="shared" si="1"/>
        <v>OK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50.1" customHeight="1" x14ac:dyDescent="0.25">
      <c r="A17" s="89"/>
      <c r="B17" s="91"/>
      <c r="C17" s="42">
        <v>14</v>
      </c>
      <c r="D17" s="18" t="s">
        <v>99</v>
      </c>
      <c r="E17" s="20" t="s">
        <v>55</v>
      </c>
      <c r="F17" s="48" t="s">
        <v>54</v>
      </c>
      <c r="G17" s="43" t="s">
        <v>26</v>
      </c>
      <c r="H17" s="43" t="s">
        <v>14</v>
      </c>
      <c r="I17" s="43" t="s">
        <v>15</v>
      </c>
      <c r="J17" s="47">
        <v>60</v>
      </c>
      <c r="K17" s="61">
        <f>200</f>
        <v>200</v>
      </c>
      <c r="L17" s="62">
        <f t="shared" si="0"/>
        <v>200</v>
      </c>
      <c r="M17" s="63" t="str">
        <f t="shared" si="1"/>
        <v>OK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4.25" customHeight="1" x14ac:dyDescent="0.25">
      <c r="A18" s="89"/>
      <c r="B18" s="91"/>
      <c r="C18" s="42">
        <v>15</v>
      </c>
      <c r="D18" s="18" t="s">
        <v>100</v>
      </c>
      <c r="E18" s="20" t="s">
        <v>56</v>
      </c>
      <c r="F18" s="48" t="s">
        <v>54</v>
      </c>
      <c r="G18" s="43" t="s">
        <v>26</v>
      </c>
      <c r="H18" s="43" t="s">
        <v>14</v>
      </c>
      <c r="I18" s="43" t="s">
        <v>15</v>
      </c>
      <c r="J18" s="47">
        <v>236</v>
      </c>
      <c r="K18" s="61">
        <f>100</f>
        <v>100</v>
      </c>
      <c r="L18" s="62">
        <f t="shared" si="0"/>
        <v>100</v>
      </c>
      <c r="M18" s="63" t="str">
        <f t="shared" si="1"/>
        <v>OK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50.1" customHeight="1" x14ac:dyDescent="0.25">
      <c r="A19" s="89"/>
      <c r="B19" s="92"/>
      <c r="C19" s="42">
        <v>16</v>
      </c>
      <c r="D19" s="18" t="s">
        <v>101</v>
      </c>
      <c r="E19" s="20" t="s">
        <v>57</v>
      </c>
      <c r="F19" s="48" t="s">
        <v>54</v>
      </c>
      <c r="G19" s="43" t="s">
        <v>26</v>
      </c>
      <c r="H19" s="43" t="s">
        <v>14</v>
      </c>
      <c r="I19" s="43" t="s">
        <v>15</v>
      </c>
      <c r="J19" s="44">
        <v>238.94</v>
      </c>
      <c r="K19" s="61">
        <f>100</f>
        <v>100</v>
      </c>
      <c r="L19" s="62">
        <f t="shared" si="0"/>
        <v>100</v>
      </c>
      <c r="M19" s="63" t="str">
        <f t="shared" si="1"/>
        <v>OK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50.1" customHeight="1" x14ac:dyDescent="0.25">
      <c r="A20" s="55">
        <v>5</v>
      </c>
      <c r="B20" s="56" t="s">
        <v>84</v>
      </c>
      <c r="C20" s="51">
        <v>17</v>
      </c>
      <c r="D20" s="27" t="s">
        <v>58</v>
      </c>
      <c r="E20" s="28" t="s">
        <v>59</v>
      </c>
      <c r="F20" s="52" t="s">
        <v>54</v>
      </c>
      <c r="G20" s="37" t="s">
        <v>60</v>
      </c>
      <c r="H20" s="37" t="s">
        <v>14</v>
      </c>
      <c r="I20" s="37" t="s">
        <v>15</v>
      </c>
      <c r="J20" s="50">
        <v>79</v>
      </c>
      <c r="K20" s="61">
        <f>0</f>
        <v>0</v>
      </c>
      <c r="L20" s="62">
        <f t="shared" si="0"/>
        <v>0</v>
      </c>
      <c r="M20" s="63" t="str">
        <f t="shared" si="1"/>
        <v>OK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50.1" customHeight="1" x14ac:dyDescent="0.25">
      <c r="A21" s="57">
        <v>6</v>
      </c>
      <c r="B21" s="58" t="s">
        <v>85</v>
      </c>
      <c r="C21" s="42">
        <v>18</v>
      </c>
      <c r="D21" s="18" t="s">
        <v>61</v>
      </c>
      <c r="E21" s="20" t="s">
        <v>62</v>
      </c>
      <c r="F21" s="48" t="s">
        <v>54</v>
      </c>
      <c r="G21" s="43" t="s">
        <v>63</v>
      </c>
      <c r="H21" s="43" t="s">
        <v>14</v>
      </c>
      <c r="I21" s="43" t="s">
        <v>15</v>
      </c>
      <c r="J21" s="44">
        <v>128.33000000000001</v>
      </c>
      <c r="K21" s="61">
        <f>0</f>
        <v>0</v>
      </c>
      <c r="L21" s="62">
        <f t="shared" si="0"/>
        <v>0</v>
      </c>
      <c r="M21" s="63" t="str">
        <f t="shared" si="1"/>
        <v>OK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50.1" customHeight="1" x14ac:dyDescent="0.25">
      <c r="A22" s="55">
        <v>8</v>
      </c>
      <c r="B22" s="56" t="s">
        <v>86</v>
      </c>
      <c r="C22" s="51">
        <v>20</v>
      </c>
      <c r="D22" s="29" t="s">
        <v>64</v>
      </c>
      <c r="E22" s="28" t="s">
        <v>65</v>
      </c>
      <c r="F22" s="28" t="s">
        <v>54</v>
      </c>
      <c r="G22" s="28" t="s">
        <v>66</v>
      </c>
      <c r="H22" s="28" t="s">
        <v>14</v>
      </c>
      <c r="I22" s="28" t="s">
        <v>15</v>
      </c>
      <c r="J22" s="50">
        <v>39.99</v>
      </c>
      <c r="K22" s="61">
        <f>0</f>
        <v>0</v>
      </c>
      <c r="L22" s="62">
        <f t="shared" si="0"/>
        <v>0</v>
      </c>
      <c r="M22" s="63" t="str">
        <f t="shared" si="1"/>
        <v>OK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50.1" customHeight="1" x14ac:dyDescent="0.25">
      <c r="A23" s="57">
        <v>9</v>
      </c>
      <c r="B23" s="58" t="s">
        <v>86</v>
      </c>
      <c r="C23" s="42">
        <v>21</v>
      </c>
      <c r="D23" s="30" t="s">
        <v>67</v>
      </c>
      <c r="E23" s="31" t="s">
        <v>68</v>
      </c>
      <c r="F23" s="31" t="s">
        <v>54</v>
      </c>
      <c r="G23" s="31" t="s">
        <v>66</v>
      </c>
      <c r="H23" s="31" t="s">
        <v>14</v>
      </c>
      <c r="I23" s="31" t="s">
        <v>15</v>
      </c>
      <c r="J23" s="44">
        <v>39.99</v>
      </c>
      <c r="K23" s="61">
        <f>0</f>
        <v>0</v>
      </c>
      <c r="L23" s="62">
        <f t="shared" si="0"/>
        <v>0</v>
      </c>
      <c r="M23" s="63" t="str">
        <f t="shared" si="1"/>
        <v>OK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50.1" customHeight="1" x14ac:dyDescent="0.25">
      <c r="A24" s="55">
        <v>10</v>
      </c>
      <c r="B24" s="56" t="s">
        <v>86</v>
      </c>
      <c r="C24" s="51">
        <v>22</v>
      </c>
      <c r="D24" s="29" t="s">
        <v>69</v>
      </c>
      <c r="E24" s="28" t="s">
        <v>70</v>
      </c>
      <c r="F24" s="28" t="s">
        <v>54</v>
      </c>
      <c r="G24" s="28" t="s">
        <v>71</v>
      </c>
      <c r="H24" s="28" t="s">
        <v>14</v>
      </c>
      <c r="I24" s="28" t="s">
        <v>15</v>
      </c>
      <c r="J24" s="50">
        <v>119.55</v>
      </c>
      <c r="K24" s="61">
        <f>0</f>
        <v>0</v>
      </c>
      <c r="L24" s="62">
        <f t="shared" si="0"/>
        <v>0</v>
      </c>
      <c r="M24" s="63" t="str">
        <f t="shared" si="1"/>
        <v>OK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50.1" customHeight="1" x14ac:dyDescent="0.25">
      <c r="A25" s="57">
        <v>11</v>
      </c>
      <c r="B25" s="58" t="s">
        <v>87</v>
      </c>
      <c r="C25" s="42">
        <v>23</v>
      </c>
      <c r="D25" s="18" t="s">
        <v>35</v>
      </c>
      <c r="E25" s="20" t="s">
        <v>72</v>
      </c>
      <c r="F25" s="48" t="s">
        <v>73</v>
      </c>
      <c r="G25" s="20" t="s">
        <v>74</v>
      </c>
      <c r="H25" s="31" t="s">
        <v>24</v>
      </c>
      <c r="I25" s="31" t="s">
        <v>75</v>
      </c>
      <c r="J25" s="44">
        <v>37.03</v>
      </c>
      <c r="K25" s="61">
        <f>0</f>
        <v>0</v>
      </c>
      <c r="L25" s="62">
        <f t="shared" si="0"/>
        <v>0</v>
      </c>
      <c r="M25" s="63" t="str">
        <f t="shared" si="1"/>
        <v>OK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05" x14ac:dyDescent="0.25">
      <c r="A26" s="55">
        <v>12</v>
      </c>
      <c r="B26" s="59" t="s">
        <v>87</v>
      </c>
      <c r="C26" s="54">
        <v>24</v>
      </c>
      <c r="D26" s="49" t="s">
        <v>76</v>
      </c>
      <c r="E26" s="32" t="s">
        <v>77</v>
      </c>
      <c r="F26" s="52" t="s">
        <v>78</v>
      </c>
      <c r="G26" s="32" t="s">
        <v>79</v>
      </c>
      <c r="H26" s="32" t="s">
        <v>24</v>
      </c>
      <c r="I26" s="32" t="s">
        <v>75</v>
      </c>
      <c r="J26" s="53">
        <v>599.78</v>
      </c>
      <c r="K26" s="61">
        <f>0</f>
        <v>0</v>
      </c>
      <c r="L26" s="62">
        <f t="shared" si="0"/>
        <v>0</v>
      </c>
      <c r="M26" s="63" t="str">
        <f t="shared" si="1"/>
        <v>OK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.75" thickBot="1" x14ac:dyDescent="0.3">
      <c r="N27" s="21">
        <f>SUMPRODUCT($J$4:$J$26,N4:N26)</f>
        <v>0</v>
      </c>
      <c r="O27" s="21">
        <f t="shared" ref="O27:AE27" si="2">SUMPRODUCT($J$4:$J$26,O4:O26)</f>
        <v>0</v>
      </c>
      <c r="P27" s="21">
        <f t="shared" si="2"/>
        <v>0</v>
      </c>
      <c r="Q27" s="21">
        <f t="shared" si="2"/>
        <v>0</v>
      </c>
      <c r="R27" s="21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si="2"/>
        <v>0</v>
      </c>
      <c r="X27" s="21">
        <f t="shared" si="2"/>
        <v>0</v>
      </c>
      <c r="Y27" s="21">
        <f t="shared" si="2"/>
        <v>0</v>
      </c>
      <c r="Z27" s="21">
        <f t="shared" si="2"/>
        <v>0</v>
      </c>
      <c r="AA27" s="21">
        <f t="shared" si="2"/>
        <v>0</v>
      </c>
      <c r="AB27" s="21">
        <f t="shared" si="2"/>
        <v>0</v>
      </c>
      <c r="AC27" s="21">
        <f t="shared" si="2"/>
        <v>0</v>
      </c>
      <c r="AD27" s="21">
        <f t="shared" si="2"/>
        <v>0</v>
      </c>
      <c r="AE27" s="21">
        <f t="shared" si="2"/>
        <v>0</v>
      </c>
    </row>
    <row r="28" spans="1:31" x14ac:dyDescent="0.25">
      <c r="D28" s="24" t="s">
        <v>43</v>
      </c>
    </row>
    <row r="29" spans="1:31" x14ac:dyDescent="0.25">
      <c r="D29" s="60" t="s">
        <v>44</v>
      </c>
    </row>
    <row r="30" spans="1:31" x14ac:dyDescent="0.25">
      <c r="D30" s="25" t="s">
        <v>106</v>
      </c>
    </row>
    <row r="31" spans="1:31" ht="15.75" thickBot="1" x14ac:dyDescent="0.3">
      <c r="D31" s="26" t="s">
        <v>105</v>
      </c>
    </row>
  </sheetData>
  <mergeCells count="28">
    <mergeCell ref="A16:A19"/>
    <mergeCell ref="B16:B19"/>
    <mergeCell ref="A1:C1"/>
    <mergeCell ref="V1:V2"/>
    <mergeCell ref="A4:A8"/>
    <mergeCell ref="B4:B8"/>
    <mergeCell ref="A9:A14"/>
    <mergeCell ref="B9:B14"/>
    <mergeCell ref="N1:N2"/>
    <mergeCell ref="O1:O2"/>
    <mergeCell ref="U1:U2"/>
    <mergeCell ref="R1:R2"/>
    <mergeCell ref="P1:P2"/>
    <mergeCell ref="Q1:Q2"/>
    <mergeCell ref="AE1:AE2"/>
    <mergeCell ref="Z1:Z2"/>
    <mergeCell ref="AA1:AA2"/>
    <mergeCell ref="AB1:AB2"/>
    <mergeCell ref="AC1:AC2"/>
    <mergeCell ref="AD1:AD2"/>
    <mergeCell ref="Y1:Y2"/>
    <mergeCell ref="W1:W2"/>
    <mergeCell ref="X1:X2"/>
    <mergeCell ref="D1:J1"/>
    <mergeCell ref="K1:M1"/>
    <mergeCell ref="A2:M2"/>
    <mergeCell ref="S1:S2"/>
    <mergeCell ref="T1:T2"/>
  </mergeCells>
  <conditionalFormatting sqref="N4:AE26">
    <cfRule type="cellIs" dxfId="39" priority="1" operator="greaterThan">
      <formula>0</formula>
    </cfRule>
    <cfRule type="cellIs" dxfId="38" priority="11" stopIfTrue="1" operator="greaterThan">
      <formula>0</formula>
    </cfRule>
    <cfRule type="cellIs" dxfId="37" priority="12" stopIfTrue="1" operator="greaterThan">
      <formula>0</formula>
    </cfRule>
    <cfRule type="cellIs" dxfId="36" priority="1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31"/>
  <sheetViews>
    <sheetView topLeftCell="A16" zoomScale="80" zoomScaleNormal="80" workbookViewId="0">
      <selection activeCell="L33" sqref="L33"/>
    </sheetView>
  </sheetViews>
  <sheetFormatPr defaultColWidth="9.7109375" defaultRowHeight="15" x14ac:dyDescent="0.25"/>
  <cols>
    <col min="1" max="1" width="7.140625" style="1" customWidth="1"/>
    <col min="2" max="2" width="23.42578125" style="1" customWidth="1"/>
    <col min="3" max="3" width="6" style="12" bestFit="1" customWidth="1"/>
    <col min="4" max="4" width="48.42578125" style="1" customWidth="1"/>
    <col min="5" max="5" width="19" style="1" customWidth="1"/>
    <col min="6" max="6" width="9.28515625" style="1" customWidth="1"/>
    <col min="7" max="7" width="12" style="1" bestFit="1" customWidth="1"/>
    <col min="8" max="8" width="8.85546875" style="1" customWidth="1"/>
    <col min="9" max="9" width="10.140625" style="1" bestFit="1" customWidth="1"/>
    <col min="10" max="10" width="13.42578125" style="16" bestFit="1" customWidth="1"/>
    <col min="11" max="11" width="11.5703125" style="4" customWidth="1"/>
    <col min="12" max="12" width="11" style="13" customWidth="1"/>
    <col min="13" max="13" width="10.85546875" style="5" customWidth="1"/>
    <col min="14" max="14" width="13.85546875" style="4" customWidth="1"/>
    <col min="15" max="15" width="12.7109375" style="4" customWidth="1"/>
    <col min="16" max="16" width="14.85546875" style="4" customWidth="1"/>
    <col min="17" max="17" width="14.140625" style="4" customWidth="1"/>
    <col min="18" max="18" width="15.28515625" style="4" customWidth="1"/>
    <col min="19" max="19" width="15.42578125" style="4" customWidth="1"/>
    <col min="20" max="20" width="17.85546875" style="4" customWidth="1"/>
    <col min="21" max="21" width="14" style="4" customWidth="1"/>
    <col min="22" max="22" width="13.5703125" style="4" customWidth="1"/>
    <col min="23" max="23" width="14.5703125" style="4" customWidth="1"/>
    <col min="24" max="24" width="14" style="4" customWidth="1"/>
    <col min="25" max="25" width="14.28515625" style="4" customWidth="1"/>
    <col min="26" max="31" width="12.7109375" style="2" customWidth="1"/>
    <col min="32" max="16384" width="9.7109375" style="2"/>
  </cols>
  <sheetData>
    <row r="1" spans="1:31" ht="31.7" customHeight="1" x14ac:dyDescent="0.25">
      <c r="A1" s="88" t="s">
        <v>37</v>
      </c>
      <c r="B1" s="88"/>
      <c r="C1" s="88"/>
      <c r="D1" s="88" t="s">
        <v>36</v>
      </c>
      <c r="E1" s="88"/>
      <c r="F1" s="88"/>
      <c r="G1" s="88"/>
      <c r="H1" s="88"/>
      <c r="I1" s="88"/>
      <c r="J1" s="88"/>
      <c r="K1" s="88" t="s">
        <v>38</v>
      </c>
      <c r="L1" s="88"/>
      <c r="M1" s="88"/>
      <c r="N1" s="87" t="s">
        <v>39</v>
      </c>
      <c r="O1" s="87" t="s">
        <v>39</v>
      </c>
      <c r="P1" s="87" t="s">
        <v>39</v>
      </c>
      <c r="Q1" s="87" t="s">
        <v>39</v>
      </c>
      <c r="R1" s="87" t="s">
        <v>39</v>
      </c>
      <c r="S1" s="87" t="s">
        <v>39</v>
      </c>
      <c r="T1" s="87" t="s">
        <v>39</v>
      </c>
      <c r="U1" s="87" t="s">
        <v>39</v>
      </c>
      <c r="V1" s="87" t="s">
        <v>39</v>
      </c>
      <c r="W1" s="87" t="s">
        <v>39</v>
      </c>
      <c r="X1" s="87" t="s">
        <v>39</v>
      </c>
      <c r="Y1" s="87" t="s">
        <v>39</v>
      </c>
      <c r="Z1" s="87" t="s">
        <v>39</v>
      </c>
      <c r="AA1" s="87" t="s">
        <v>39</v>
      </c>
      <c r="AB1" s="87" t="s">
        <v>39</v>
      </c>
      <c r="AC1" s="87" t="s">
        <v>39</v>
      </c>
      <c r="AD1" s="87" t="s">
        <v>39</v>
      </c>
      <c r="AE1" s="87" t="s">
        <v>39</v>
      </c>
    </row>
    <row r="2" spans="1:31" ht="24" customHeight="1" x14ac:dyDescent="0.25">
      <c r="A2" s="88" t="s">
        <v>113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3" customFormat="1" ht="45" x14ac:dyDescent="0.2">
      <c r="A3" s="23" t="s">
        <v>40</v>
      </c>
      <c r="B3" s="23" t="s">
        <v>27</v>
      </c>
      <c r="C3" s="23" t="s">
        <v>3</v>
      </c>
      <c r="D3" s="23" t="s">
        <v>28</v>
      </c>
      <c r="E3" s="23" t="s">
        <v>29</v>
      </c>
      <c r="F3" s="23" t="s">
        <v>42</v>
      </c>
      <c r="G3" s="23" t="s">
        <v>30</v>
      </c>
      <c r="H3" s="23" t="s">
        <v>4</v>
      </c>
      <c r="I3" s="23" t="s">
        <v>31</v>
      </c>
      <c r="J3" s="23" t="s">
        <v>41</v>
      </c>
      <c r="K3" s="10" t="s">
        <v>6</v>
      </c>
      <c r="L3" s="11" t="s">
        <v>0</v>
      </c>
      <c r="M3" s="9" t="s">
        <v>2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9" t="s">
        <v>1</v>
      </c>
      <c r="AD3" s="9" t="s">
        <v>1</v>
      </c>
      <c r="AE3" s="9" t="s">
        <v>1</v>
      </c>
    </row>
    <row r="4" spans="1:31" ht="50.1" customHeight="1" x14ac:dyDescent="0.25">
      <c r="A4" s="93">
        <v>1</v>
      </c>
      <c r="B4" s="94" t="s">
        <v>80</v>
      </c>
      <c r="C4" s="33">
        <v>1</v>
      </c>
      <c r="D4" s="34" t="s">
        <v>88</v>
      </c>
      <c r="E4" s="35" t="s">
        <v>45</v>
      </c>
      <c r="F4" s="36" t="s">
        <v>46</v>
      </c>
      <c r="G4" s="37" t="s">
        <v>17</v>
      </c>
      <c r="H4" s="36" t="s">
        <v>14</v>
      </c>
      <c r="I4" s="36" t="s">
        <v>15</v>
      </c>
      <c r="J4" s="38">
        <v>100</v>
      </c>
      <c r="K4" s="64">
        <f>64</f>
        <v>64</v>
      </c>
      <c r="L4" s="62">
        <f>K4-(SUM(N4:AE4))</f>
        <v>64</v>
      </c>
      <c r="M4" s="63" t="str">
        <f>IF(L4&lt;0,"ATENÇÃO","OK")</f>
        <v>OK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7" customHeight="1" x14ac:dyDescent="0.25">
      <c r="A5" s="93"/>
      <c r="B5" s="95"/>
      <c r="C5" s="33">
        <v>2</v>
      </c>
      <c r="D5" s="39" t="s">
        <v>89</v>
      </c>
      <c r="E5" s="40" t="s">
        <v>47</v>
      </c>
      <c r="F5" s="41" t="s">
        <v>46</v>
      </c>
      <c r="G5" s="37" t="s">
        <v>18</v>
      </c>
      <c r="H5" s="41" t="s">
        <v>14</v>
      </c>
      <c r="I5" s="36" t="s">
        <v>15</v>
      </c>
      <c r="J5" s="38">
        <v>70.44</v>
      </c>
      <c r="K5" s="64">
        <f>30</f>
        <v>30</v>
      </c>
      <c r="L5" s="62">
        <f t="shared" ref="L5:L26" si="0">K5-(SUM(N5:AE5))</f>
        <v>30</v>
      </c>
      <c r="M5" s="63" t="str">
        <f t="shared" ref="M5:M26" si="1">IF(L5&lt;0,"ATENÇÃO","OK")</f>
        <v>OK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50.1" customHeight="1" x14ac:dyDescent="0.25">
      <c r="A6" s="93"/>
      <c r="B6" s="95"/>
      <c r="C6" s="33">
        <v>3</v>
      </c>
      <c r="D6" s="34" t="s">
        <v>90</v>
      </c>
      <c r="E6" s="40" t="s">
        <v>47</v>
      </c>
      <c r="F6" s="36" t="s">
        <v>46</v>
      </c>
      <c r="G6" s="37" t="s">
        <v>20</v>
      </c>
      <c r="H6" s="36" t="s">
        <v>14</v>
      </c>
      <c r="I6" s="36" t="s">
        <v>15</v>
      </c>
      <c r="J6" s="38">
        <v>70.819999999999993</v>
      </c>
      <c r="K6" s="64">
        <f>40</f>
        <v>40</v>
      </c>
      <c r="L6" s="62">
        <f t="shared" si="0"/>
        <v>40</v>
      </c>
      <c r="M6" s="63" t="str">
        <f t="shared" si="1"/>
        <v>OK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50.1" customHeight="1" x14ac:dyDescent="0.25">
      <c r="A7" s="93"/>
      <c r="B7" s="95"/>
      <c r="C7" s="33">
        <v>4</v>
      </c>
      <c r="D7" s="34" t="s">
        <v>91</v>
      </c>
      <c r="E7" s="40" t="s">
        <v>47</v>
      </c>
      <c r="F7" s="36" t="s">
        <v>46</v>
      </c>
      <c r="G7" s="37" t="s">
        <v>21</v>
      </c>
      <c r="H7" s="36" t="s">
        <v>14</v>
      </c>
      <c r="I7" s="36" t="s">
        <v>15</v>
      </c>
      <c r="J7" s="38">
        <v>135.66999999999999</v>
      </c>
      <c r="K7" s="64">
        <f>35</f>
        <v>35</v>
      </c>
      <c r="L7" s="62">
        <f t="shared" si="0"/>
        <v>35</v>
      </c>
      <c r="M7" s="63" t="str">
        <f t="shared" si="1"/>
        <v>OK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50.1" customHeight="1" x14ac:dyDescent="0.25">
      <c r="A8" s="93"/>
      <c r="B8" s="96"/>
      <c r="C8" s="33">
        <v>5</v>
      </c>
      <c r="D8" s="34" t="s">
        <v>92</v>
      </c>
      <c r="E8" s="40" t="s">
        <v>47</v>
      </c>
      <c r="F8" s="36" t="s">
        <v>46</v>
      </c>
      <c r="G8" s="37" t="s">
        <v>22</v>
      </c>
      <c r="H8" s="36" t="s">
        <v>14</v>
      </c>
      <c r="I8" s="36" t="s">
        <v>15</v>
      </c>
      <c r="J8" s="38">
        <v>111.99</v>
      </c>
      <c r="K8" s="64">
        <f>20</f>
        <v>20</v>
      </c>
      <c r="L8" s="62">
        <f t="shared" si="0"/>
        <v>20</v>
      </c>
      <c r="M8" s="63" t="str">
        <f t="shared" si="1"/>
        <v>OK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50.1" customHeight="1" x14ac:dyDescent="0.25">
      <c r="A9" s="89">
        <v>2</v>
      </c>
      <c r="B9" s="90" t="s">
        <v>81</v>
      </c>
      <c r="C9" s="42">
        <v>6</v>
      </c>
      <c r="D9" s="18" t="s">
        <v>93</v>
      </c>
      <c r="E9" s="20" t="s">
        <v>48</v>
      </c>
      <c r="F9" s="43" t="s">
        <v>49</v>
      </c>
      <c r="G9" s="43" t="s">
        <v>19</v>
      </c>
      <c r="H9" s="43" t="s">
        <v>14</v>
      </c>
      <c r="I9" s="43" t="s">
        <v>15</v>
      </c>
      <c r="J9" s="44">
        <v>130</v>
      </c>
      <c r="K9" s="64">
        <f>250</f>
        <v>250</v>
      </c>
      <c r="L9" s="62">
        <f t="shared" si="0"/>
        <v>250</v>
      </c>
      <c r="M9" s="63" t="str">
        <f t="shared" si="1"/>
        <v>OK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50.1" customHeight="1" x14ac:dyDescent="0.25">
      <c r="A10" s="89"/>
      <c r="B10" s="91"/>
      <c r="C10" s="42">
        <v>7</v>
      </c>
      <c r="D10" s="18" t="s">
        <v>94</v>
      </c>
      <c r="E10" s="20" t="s">
        <v>48</v>
      </c>
      <c r="F10" s="43" t="s">
        <v>49</v>
      </c>
      <c r="G10" s="43" t="s">
        <v>19</v>
      </c>
      <c r="H10" s="43" t="s">
        <v>14</v>
      </c>
      <c r="I10" s="43" t="s">
        <v>15</v>
      </c>
      <c r="J10" s="44">
        <v>158</v>
      </c>
      <c r="K10" s="64">
        <f>140</f>
        <v>140</v>
      </c>
      <c r="L10" s="62">
        <f t="shared" si="0"/>
        <v>140</v>
      </c>
      <c r="M10" s="63" t="str">
        <f t="shared" si="1"/>
        <v>OK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50.1" customHeight="1" x14ac:dyDescent="0.25">
      <c r="A11" s="89"/>
      <c r="B11" s="91"/>
      <c r="C11" s="42">
        <v>8</v>
      </c>
      <c r="D11" s="45" t="s">
        <v>95</v>
      </c>
      <c r="E11" s="20" t="s">
        <v>48</v>
      </c>
      <c r="F11" s="43" t="s">
        <v>49</v>
      </c>
      <c r="G11" s="43" t="s">
        <v>23</v>
      </c>
      <c r="H11" s="43" t="s">
        <v>24</v>
      </c>
      <c r="I11" s="46" t="s">
        <v>15</v>
      </c>
      <c r="J11" s="44">
        <v>380</v>
      </c>
      <c r="K11" s="64">
        <f>10</f>
        <v>10</v>
      </c>
      <c r="L11" s="62">
        <f t="shared" si="0"/>
        <v>10</v>
      </c>
      <c r="M11" s="63" t="str">
        <f t="shared" si="1"/>
        <v>OK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50.1" customHeight="1" x14ac:dyDescent="0.25">
      <c r="A12" s="89"/>
      <c r="B12" s="91"/>
      <c r="C12" s="42">
        <v>9</v>
      </c>
      <c r="D12" s="45" t="s">
        <v>96</v>
      </c>
      <c r="E12" s="20" t="s">
        <v>48</v>
      </c>
      <c r="F12" s="43" t="s">
        <v>49</v>
      </c>
      <c r="G12" s="43" t="s">
        <v>23</v>
      </c>
      <c r="H12" s="43" t="s">
        <v>24</v>
      </c>
      <c r="I12" s="46" t="s">
        <v>15</v>
      </c>
      <c r="J12" s="47">
        <v>293.85000000000002</v>
      </c>
      <c r="K12" s="64">
        <f>8</f>
        <v>8</v>
      </c>
      <c r="L12" s="62">
        <f t="shared" si="0"/>
        <v>8</v>
      </c>
      <c r="M12" s="63" t="str">
        <f t="shared" si="1"/>
        <v>OK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34.5" customHeight="1" x14ac:dyDescent="0.25">
      <c r="A13" s="89"/>
      <c r="B13" s="91"/>
      <c r="C13" s="42">
        <v>10</v>
      </c>
      <c r="D13" s="18" t="s">
        <v>33</v>
      </c>
      <c r="E13" s="20" t="s">
        <v>48</v>
      </c>
      <c r="F13" s="48" t="s">
        <v>50</v>
      </c>
      <c r="G13" s="43" t="s">
        <v>32</v>
      </c>
      <c r="H13" s="43" t="s">
        <v>14</v>
      </c>
      <c r="I13" s="43" t="s">
        <v>16</v>
      </c>
      <c r="J13" s="47">
        <v>24</v>
      </c>
      <c r="K13" s="64">
        <f>150</f>
        <v>150</v>
      </c>
      <c r="L13" s="62">
        <f t="shared" si="0"/>
        <v>150</v>
      </c>
      <c r="M13" s="63" t="str">
        <f t="shared" si="1"/>
        <v>OK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39.75" customHeight="1" x14ac:dyDescent="0.25">
      <c r="A14" s="89"/>
      <c r="B14" s="92"/>
      <c r="C14" s="42">
        <v>11</v>
      </c>
      <c r="D14" s="18" t="s">
        <v>34</v>
      </c>
      <c r="E14" s="20" t="s">
        <v>48</v>
      </c>
      <c r="F14" s="48" t="s">
        <v>50</v>
      </c>
      <c r="G14" s="43" t="s">
        <v>32</v>
      </c>
      <c r="H14" s="43" t="s">
        <v>14</v>
      </c>
      <c r="I14" s="43" t="s">
        <v>16</v>
      </c>
      <c r="J14" s="47">
        <v>25</v>
      </c>
      <c r="K14" s="64">
        <f>370</f>
        <v>370</v>
      </c>
      <c r="L14" s="62">
        <f t="shared" si="0"/>
        <v>370</v>
      </c>
      <c r="M14" s="63" t="str">
        <f t="shared" si="1"/>
        <v>OK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50.1" customHeight="1" x14ac:dyDescent="0.25">
      <c r="A15" s="55">
        <v>3</v>
      </c>
      <c r="B15" s="56" t="s">
        <v>82</v>
      </c>
      <c r="C15" s="33">
        <v>12</v>
      </c>
      <c r="D15" s="49" t="s">
        <v>97</v>
      </c>
      <c r="E15" s="32" t="s">
        <v>51</v>
      </c>
      <c r="F15" s="37" t="s">
        <v>52</v>
      </c>
      <c r="G15" s="37" t="s">
        <v>25</v>
      </c>
      <c r="H15" s="37" t="s">
        <v>14</v>
      </c>
      <c r="I15" s="37" t="s">
        <v>15</v>
      </c>
      <c r="J15" s="50">
        <v>50.15</v>
      </c>
      <c r="K15" s="64">
        <f>180</f>
        <v>180</v>
      </c>
      <c r="L15" s="62">
        <f t="shared" si="0"/>
        <v>180</v>
      </c>
      <c r="M15" s="63" t="str">
        <f t="shared" si="1"/>
        <v>OK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65.25" customHeight="1" x14ac:dyDescent="0.25">
      <c r="A16" s="89">
        <v>4</v>
      </c>
      <c r="B16" s="90" t="s">
        <v>83</v>
      </c>
      <c r="C16" s="42">
        <v>13</v>
      </c>
      <c r="D16" s="18" t="s">
        <v>98</v>
      </c>
      <c r="E16" s="20" t="s">
        <v>53</v>
      </c>
      <c r="F16" s="48" t="s">
        <v>54</v>
      </c>
      <c r="G16" s="43" t="s">
        <v>26</v>
      </c>
      <c r="H16" s="43" t="s">
        <v>14</v>
      </c>
      <c r="I16" s="43" t="s">
        <v>15</v>
      </c>
      <c r="J16" s="47">
        <v>90</v>
      </c>
      <c r="K16" s="64">
        <f>370</f>
        <v>370</v>
      </c>
      <c r="L16" s="62">
        <f t="shared" si="0"/>
        <v>370</v>
      </c>
      <c r="M16" s="63" t="str">
        <f t="shared" si="1"/>
        <v>OK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50.1" customHeight="1" x14ac:dyDescent="0.25">
      <c r="A17" s="89"/>
      <c r="B17" s="91"/>
      <c r="C17" s="42">
        <v>14</v>
      </c>
      <c r="D17" s="18" t="s">
        <v>99</v>
      </c>
      <c r="E17" s="20" t="s">
        <v>55</v>
      </c>
      <c r="F17" s="48" t="s">
        <v>54</v>
      </c>
      <c r="G17" s="43" t="s">
        <v>26</v>
      </c>
      <c r="H17" s="43" t="s">
        <v>14</v>
      </c>
      <c r="I17" s="43" t="s">
        <v>15</v>
      </c>
      <c r="J17" s="47">
        <v>60</v>
      </c>
      <c r="K17" s="64">
        <f>160</f>
        <v>160</v>
      </c>
      <c r="L17" s="62">
        <f t="shared" si="0"/>
        <v>160</v>
      </c>
      <c r="M17" s="63" t="str">
        <f t="shared" si="1"/>
        <v>OK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4.25" customHeight="1" x14ac:dyDescent="0.25">
      <c r="A18" s="89"/>
      <c r="B18" s="91"/>
      <c r="C18" s="42">
        <v>15</v>
      </c>
      <c r="D18" s="18" t="s">
        <v>100</v>
      </c>
      <c r="E18" s="20" t="s">
        <v>56</v>
      </c>
      <c r="F18" s="48" t="s">
        <v>54</v>
      </c>
      <c r="G18" s="43" t="s">
        <v>26</v>
      </c>
      <c r="H18" s="43" t="s">
        <v>14</v>
      </c>
      <c r="I18" s="43" t="s">
        <v>15</v>
      </c>
      <c r="J18" s="47">
        <v>236</v>
      </c>
      <c r="K18" s="64">
        <f>205</f>
        <v>205</v>
      </c>
      <c r="L18" s="62">
        <f t="shared" si="0"/>
        <v>205</v>
      </c>
      <c r="M18" s="63" t="str">
        <f t="shared" si="1"/>
        <v>OK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50.1" customHeight="1" x14ac:dyDescent="0.25">
      <c r="A19" s="89"/>
      <c r="B19" s="92"/>
      <c r="C19" s="42">
        <v>16</v>
      </c>
      <c r="D19" s="18" t="s">
        <v>101</v>
      </c>
      <c r="E19" s="20" t="s">
        <v>57</v>
      </c>
      <c r="F19" s="48" t="s">
        <v>54</v>
      </c>
      <c r="G19" s="43" t="s">
        <v>26</v>
      </c>
      <c r="H19" s="43" t="s">
        <v>14</v>
      </c>
      <c r="I19" s="43" t="s">
        <v>15</v>
      </c>
      <c r="J19" s="44">
        <v>238.94</v>
      </c>
      <c r="K19" s="64">
        <f>140</f>
        <v>140</v>
      </c>
      <c r="L19" s="62">
        <f t="shared" si="0"/>
        <v>140</v>
      </c>
      <c r="M19" s="63" t="str">
        <f t="shared" si="1"/>
        <v>OK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50.1" customHeight="1" x14ac:dyDescent="0.25">
      <c r="A20" s="55">
        <v>5</v>
      </c>
      <c r="B20" s="56" t="s">
        <v>84</v>
      </c>
      <c r="C20" s="51">
        <v>17</v>
      </c>
      <c r="D20" s="27" t="s">
        <v>58</v>
      </c>
      <c r="E20" s="28" t="s">
        <v>59</v>
      </c>
      <c r="F20" s="52" t="s">
        <v>54</v>
      </c>
      <c r="G20" s="37" t="s">
        <v>60</v>
      </c>
      <c r="H20" s="37" t="s">
        <v>14</v>
      </c>
      <c r="I20" s="37" t="s">
        <v>15</v>
      </c>
      <c r="J20" s="50">
        <v>79</v>
      </c>
      <c r="K20" s="64">
        <f>0</f>
        <v>0</v>
      </c>
      <c r="L20" s="62">
        <f t="shared" si="0"/>
        <v>0</v>
      </c>
      <c r="M20" s="63" t="str">
        <f t="shared" si="1"/>
        <v>OK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50.1" customHeight="1" x14ac:dyDescent="0.25">
      <c r="A21" s="57">
        <v>6</v>
      </c>
      <c r="B21" s="58" t="s">
        <v>85</v>
      </c>
      <c r="C21" s="42">
        <v>18</v>
      </c>
      <c r="D21" s="18" t="s">
        <v>61</v>
      </c>
      <c r="E21" s="20" t="s">
        <v>62</v>
      </c>
      <c r="F21" s="48" t="s">
        <v>54</v>
      </c>
      <c r="G21" s="43" t="s">
        <v>63</v>
      </c>
      <c r="H21" s="43" t="s">
        <v>14</v>
      </c>
      <c r="I21" s="43" t="s">
        <v>15</v>
      </c>
      <c r="J21" s="44">
        <v>128.33000000000001</v>
      </c>
      <c r="K21" s="64">
        <f>0</f>
        <v>0</v>
      </c>
      <c r="L21" s="62">
        <f t="shared" si="0"/>
        <v>0</v>
      </c>
      <c r="M21" s="63" t="str">
        <f t="shared" si="1"/>
        <v>OK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50.1" customHeight="1" x14ac:dyDescent="0.25">
      <c r="A22" s="55">
        <v>8</v>
      </c>
      <c r="B22" s="56" t="s">
        <v>86</v>
      </c>
      <c r="C22" s="51">
        <v>20</v>
      </c>
      <c r="D22" s="29" t="s">
        <v>64</v>
      </c>
      <c r="E22" s="28" t="s">
        <v>65</v>
      </c>
      <c r="F22" s="28" t="s">
        <v>54</v>
      </c>
      <c r="G22" s="28" t="s">
        <v>66</v>
      </c>
      <c r="H22" s="28" t="s">
        <v>14</v>
      </c>
      <c r="I22" s="28" t="s">
        <v>15</v>
      </c>
      <c r="J22" s="50">
        <v>39.99</v>
      </c>
      <c r="K22" s="64">
        <f>500</f>
        <v>500</v>
      </c>
      <c r="L22" s="62">
        <f t="shared" si="0"/>
        <v>500</v>
      </c>
      <c r="M22" s="63" t="str">
        <f t="shared" si="1"/>
        <v>OK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50.1" customHeight="1" x14ac:dyDescent="0.25">
      <c r="A23" s="57">
        <v>9</v>
      </c>
      <c r="B23" s="58" t="s">
        <v>86</v>
      </c>
      <c r="C23" s="42">
        <v>21</v>
      </c>
      <c r="D23" s="30" t="s">
        <v>67</v>
      </c>
      <c r="E23" s="31" t="s">
        <v>68</v>
      </c>
      <c r="F23" s="31" t="s">
        <v>54</v>
      </c>
      <c r="G23" s="31" t="s">
        <v>66</v>
      </c>
      <c r="H23" s="31" t="s">
        <v>14</v>
      </c>
      <c r="I23" s="31" t="s">
        <v>15</v>
      </c>
      <c r="J23" s="44">
        <v>39.99</v>
      </c>
      <c r="K23" s="64">
        <f>550</f>
        <v>550</v>
      </c>
      <c r="L23" s="62">
        <f t="shared" si="0"/>
        <v>550</v>
      </c>
      <c r="M23" s="63" t="str">
        <f t="shared" si="1"/>
        <v>OK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50.1" customHeight="1" x14ac:dyDescent="0.25">
      <c r="A24" s="55">
        <v>10</v>
      </c>
      <c r="B24" s="56" t="s">
        <v>86</v>
      </c>
      <c r="C24" s="51">
        <v>22</v>
      </c>
      <c r="D24" s="29" t="s">
        <v>69</v>
      </c>
      <c r="E24" s="28" t="s">
        <v>70</v>
      </c>
      <c r="F24" s="28" t="s">
        <v>54</v>
      </c>
      <c r="G24" s="28" t="s">
        <v>71</v>
      </c>
      <c r="H24" s="28" t="s">
        <v>14</v>
      </c>
      <c r="I24" s="28" t="s">
        <v>15</v>
      </c>
      <c r="J24" s="50">
        <v>119.55</v>
      </c>
      <c r="K24" s="64">
        <f>450</f>
        <v>450</v>
      </c>
      <c r="L24" s="62">
        <f t="shared" si="0"/>
        <v>450</v>
      </c>
      <c r="M24" s="63" t="str">
        <f t="shared" si="1"/>
        <v>OK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50.1" customHeight="1" x14ac:dyDescent="0.25">
      <c r="A25" s="57">
        <v>11</v>
      </c>
      <c r="B25" s="58" t="s">
        <v>87</v>
      </c>
      <c r="C25" s="42">
        <v>23</v>
      </c>
      <c r="D25" s="18" t="s">
        <v>35</v>
      </c>
      <c r="E25" s="20" t="s">
        <v>72</v>
      </c>
      <c r="F25" s="48" t="s">
        <v>73</v>
      </c>
      <c r="G25" s="20" t="s">
        <v>74</v>
      </c>
      <c r="H25" s="31" t="s">
        <v>24</v>
      </c>
      <c r="I25" s="31" t="s">
        <v>75</v>
      </c>
      <c r="J25" s="44">
        <v>37.03</v>
      </c>
      <c r="K25" s="64">
        <f>900</f>
        <v>900</v>
      </c>
      <c r="L25" s="62">
        <f t="shared" si="0"/>
        <v>900</v>
      </c>
      <c r="M25" s="63" t="str">
        <f t="shared" si="1"/>
        <v>OK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05" x14ac:dyDescent="0.25">
      <c r="A26" s="55">
        <v>12</v>
      </c>
      <c r="B26" s="59" t="s">
        <v>87</v>
      </c>
      <c r="C26" s="54">
        <v>24</v>
      </c>
      <c r="D26" s="49" t="s">
        <v>76</v>
      </c>
      <c r="E26" s="32" t="s">
        <v>77</v>
      </c>
      <c r="F26" s="52" t="s">
        <v>78</v>
      </c>
      <c r="G26" s="32" t="s">
        <v>79</v>
      </c>
      <c r="H26" s="32" t="s">
        <v>24</v>
      </c>
      <c r="I26" s="32" t="s">
        <v>75</v>
      </c>
      <c r="J26" s="53">
        <v>599.78</v>
      </c>
      <c r="K26" s="64">
        <f>40</f>
        <v>40</v>
      </c>
      <c r="L26" s="62">
        <f t="shared" si="0"/>
        <v>40</v>
      </c>
      <c r="M26" s="63" t="str">
        <f t="shared" si="1"/>
        <v>OK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.75" thickBot="1" x14ac:dyDescent="0.3">
      <c r="N27" s="21">
        <f>SUMPRODUCT($J$4:$J$26,N4:N26)</f>
        <v>0</v>
      </c>
      <c r="O27" s="21">
        <f t="shared" ref="O27:AE27" si="2">SUMPRODUCT($J$4:$J$26,O4:O26)</f>
        <v>0</v>
      </c>
      <c r="P27" s="21">
        <f t="shared" si="2"/>
        <v>0</v>
      </c>
      <c r="Q27" s="21">
        <f t="shared" si="2"/>
        <v>0</v>
      </c>
      <c r="R27" s="21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si="2"/>
        <v>0</v>
      </c>
      <c r="X27" s="21">
        <f t="shared" si="2"/>
        <v>0</v>
      </c>
      <c r="Y27" s="21">
        <f t="shared" si="2"/>
        <v>0</v>
      </c>
      <c r="Z27" s="21">
        <f t="shared" si="2"/>
        <v>0</v>
      </c>
      <c r="AA27" s="21">
        <f t="shared" si="2"/>
        <v>0</v>
      </c>
      <c r="AB27" s="21">
        <f t="shared" si="2"/>
        <v>0</v>
      </c>
      <c r="AC27" s="21">
        <f t="shared" si="2"/>
        <v>0</v>
      </c>
      <c r="AD27" s="21">
        <f t="shared" si="2"/>
        <v>0</v>
      </c>
      <c r="AE27" s="21">
        <f t="shared" si="2"/>
        <v>0</v>
      </c>
    </row>
    <row r="28" spans="1:31" x14ac:dyDescent="0.25">
      <c r="D28" s="24" t="s">
        <v>43</v>
      </c>
    </row>
    <row r="29" spans="1:31" x14ac:dyDescent="0.25">
      <c r="D29" s="60" t="s">
        <v>44</v>
      </c>
    </row>
    <row r="30" spans="1:31" x14ac:dyDescent="0.25">
      <c r="D30" s="25" t="s">
        <v>106</v>
      </c>
    </row>
    <row r="31" spans="1:31" ht="15.75" thickBot="1" x14ac:dyDescent="0.3">
      <c r="D31" s="26" t="s">
        <v>105</v>
      </c>
    </row>
  </sheetData>
  <mergeCells count="28">
    <mergeCell ref="A9:A14"/>
    <mergeCell ref="B9:B14"/>
    <mergeCell ref="A16:A19"/>
    <mergeCell ref="B16:B19"/>
    <mergeCell ref="AC1:AC2"/>
    <mergeCell ref="V1:V2"/>
    <mergeCell ref="A1:C1"/>
    <mergeCell ref="D1:J1"/>
    <mergeCell ref="K1:M1"/>
    <mergeCell ref="N1:N2"/>
    <mergeCell ref="O1:O2"/>
    <mergeCell ref="P1:P2"/>
    <mergeCell ref="AD1:AD2"/>
    <mergeCell ref="AE1:AE2"/>
    <mergeCell ref="A2:M2"/>
    <mergeCell ref="A4:A8"/>
    <mergeCell ref="B4:B8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</mergeCells>
  <conditionalFormatting sqref="N4:AE26">
    <cfRule type="cellIs" dxfId="3" priority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  <cfRule type="cellIs" dxfId="0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K36"/>
  <sheetViews>
    <sheetView zoomScale="78" zoomScaleNormal="78" workbookViewId="0">
      <selection activeCell="O22" sqref="O22"/>
    </sheetView>
  </sheetViews>
  <sheetFormatPr defaultColWidth="9.7109375" defaultRowHeight="36.75" customHeight="1" x14ac:dyDescent="0.25"/>
  <cols>
    <col min="1" max="1" width="7.42578125" style="1" customWidth="1"/>
    <col min="2" max="2" width="25.28515625" style="1" customWidth="1"/>
    <col min="3" max="3" width="7.140625" style="12" customWidth="1"/>
    <col min="4" max="4" width="54.7109375" style="1" customWidth="1"/>
    <col min="5" max="5" width="15.42578125" style="1" customWidth="1"/>
    <col min="6" max="6" width="15.42578125" style="3" customWidth="1"/>
    <col min="7" max="7" width="15" style="4" customWidth="1"/>
    <col min="8" max="8" width="13.28515625" style="13" customWidth="1"/>
    <col min="9" max="9" width="15" style="5" bestFit="1" customWidth="1"/>
    <col min="10" max="10" width="17.5703125" style="2" customWidth="1"/>
    <col min="11" max="11" width="18.85546875" style="2" bestFit="1" customWidth="1"/>
    <col min="12" max="16384" width="9.7109375" style="2"/>
  </cols>
  <sheetData>
    <row r="1" spans="1:11" ht="44.85" customHeight="1" x14ac:dyDescent="0.25">
      <c r="A1" s="88" t="s">
        <v>37</v>
      </c>
      <c r="B1" s="88"/>
      <c r="C1" s="88"/>
      <c r="D1" s="88" t="s">
        <v>36</v>
      </c>
      <c r="E1" s="88"/>
      <c r="F1" s="88"/>
      <c r="G1" s="103" t="s">
        <v>115</v>
      </c>
      <c r="H1" s="103"/>
      <c r="I1" s="103"/>
      <c r="J1" s="103"/>
      <c r="K1" s="103"/>
    </row>
    <row r="2" spans="1:11" ht="22.5" customHeight="1" x14ac:dyDescent="0.25">
      <c r="A2" s="102" t="s">
        <v>116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3" customFormat="1" ht="30" x14ac:dyDescent="0.2">
      <c r="A3" s="66" t="s">
        <v>40</v>
      </c>
      <c r="B3" s="67" t="s">
        <v>27</v>
      </c>
      <c r="C3" s="66" t="s">
        <v>3</v>
      </c>
      <c r="D3" s="68" t="s">
        <v>28</v>
      </c>
      <c r="E3" s="68" t="s">
        <v>29</v>
      </c>
      <c r="F3" s="65" t="s">
        <v>41</v>
      </c>
      <c r="G3" s="10" t="s">
        <v>6</v>
      </c>
      <c r="H3" s="11" t="s">
        <v>13</v>
      </c>
      <c r="I3" s="9" t="s">
        <v>5</v>
      </c>
      <c r="J3" s="14" t="s">
        <v>7</v>
      </c>
      <c r="K3" s="14" t="s">
        <v>8</v>
      </c>
    </row>
    <row r="4" spans="1:11" ht="14.25" customHeight="1" x14ac:dyDescent="0.25">
      <c r="A4" s="93">
        <v>1</v>
      </c>
      <c r="B4" s="94" t="s">
        <v>80</v>
      </c>
      <c r="C4" s="33">
        <v>1</v>
      </c>
      <c r="D4" s="34" t="s">
        <v>88</v>
      </c>
      <c r="E4" s="35" t="s">
        <v>45</v>
      </c>
      <c r="F4" s="69">
        <v>100</v>
      </c>
      <c r="G4" s="8">
        <f>REITORIA_SEMS!K4+REITORIA_MUSEU!K4+CESFI!K4+CEAD!K4+FAED!K4+CERES!K4+CEFID!K4+CEAVI!K4+ESAG!K4+CEART!K4</f>
        <v>476</v>
      </c>
      <c r="H4" s="19">
        <f>REITORIA_SEMS!K4-REITORIA_SEMS!L4+REITORIA_MUSEU!K4-REITORIA_MUSEU!L4+CESFI!K4-CESFI!L4+CEAD!K4-CEAD!L4+FAED!K4-FAED!L4+CERES!K4-CERES!L4+CEFID!K4-CEFID!L4+CEAVI!K4-CEAVI!L4+ESAG!K4-ESAG!L4+CEART!K4-CEART!L4</f>
        <v>0</v>
      </c>
      <c r="I4" s="15">
        <f>G4-H4</f>
        <v>476</v>
      </c>
      <c r="J4" s="6">
        <f>G4*F4</f>
        <v>47600</v>
      </c>
      <c r="K4" s="7">
        <f>F4*H4</f>
        <v>0</v>
      </c>
    </row>
    <row r="5" spans="1:11" ht="14.25" customHeight="1" x14ac:dyDescent="0.25">
      <c r="A5" s="93"/>
      <c r="B5" s="95"/>
      <c r="C5" s="33">
        <v>2</v>
      </c>
      <c r="D5" s="39" t="s">
        <v>89</v>
      </c>
      <c r="E5" s="40" t="s">
        <v>47</v>
      </c>
      <c r="F5" s="69">
        <v>70.44</v>
      </c>
      <c r="G5" s="8">
        <f>REITORIA_SEMS!K5+REITORIA_MUSEU!K5+CESFI!K5+CEAD!K5+FAED!K5+CERES!K5+CEFID!K5+CEAVI!K5+ESAG!K5+CEART!K5</f>
        <v>105</v>
      </c>
      <c r="H5" s="19">
        <f>REITORIA_SEMS!K5-REITORIA_SEMS!L5+REITORIA_MUSEU!K5-REITORIA_MUSEU!L5+CESFI!K5-CESFI!L5+CEAD!K5-CEAD!L5+FAED!K5-FAED!L5+CERES!K5-CERES!L5+CEFID!K5-CEFID!L5+CEAVI!K5-CEAVI!L5+ESAG!K5-ESAG!L5+CEART!K5-CEART!L5</f>
        <v>0</v>
      </c>
      <c r="I5" s="15">
        <f t="shared" ref="I5:I26" si="0">G5-H5</f>
        <v>105</v>
      </c>
      <c r="J5" s="6">
        <f t="shared" ref="J5:J26" si="1">G5*F5</f>
        <v>7396.2</v>
      </c>
      <c r="K5" s="7">
        <f t="shared" ref="K5:K26" si="2">F5*H5</f>
        <v>0</v>
      </c>
    </row>
    <row r="6" spans="1:11" ht="51" customHeight="1" x14ac:dyDescent="0.25">
      <c r="A6" s="93"/>
      <c r="B6" s="95"/>
      <c r="C6" s="33">
        <v>3</v>
      </c>
      <c r="D6" s="34" t="s">
        <v>90</v>
      </c>
      <c r="E6" s="40" t="s">
        <v>47</v>
      </c>
      <c r="F6" s="69">
        <v>70.819999999999993</v>
      </c>
      <c r="G6" s="8">
        <f>REITORIA_SEMS!K6+REITORIA_MUSEU!K6+CESFI!K6+CEAD!K6+FAED!K6+CERES!K6+CEFID!K6+CEAVI!K6+ESAG!K6+CEART!K6</f>
        <v>205</v>
      </c>
      <c r="H6" s="19">
        <f>REITORIA_SEMS!K6-REITORIA_SEMS!L6+REITORIA_MUSEU!K6-REITORIA_MUSEU!L6+CESFI!K6-CESFI!L6+CEAD!K6-CEAD!L6+FAED!K6-FAED!L6+CERES!K6-CERES!L6+CEFID!K6-CEFID!L6+CEAVI!K6-CEAVI!L6+ESAG!K6-ESAG!L6+CEART!K6-CEART!L6</f>
        <v>0</v>
      </c>
      <c r="I6" s="15">
        <f t="shared" si="0"/>
        <v>205</v>
      </c>
      <c r="J6" s="6">
        <f t="shared" si="1"/>
        <v>14518.099999999999</v>
      </c>
      <c r="K6" s="7">
        <f t="shared" si="2"/>
        <v>0</v>
      </c>
    </row>
    <row r="7" spans="1:11" ht="49.7" customHeight="1" x14ac:dyDescent="0.25">
      <c r="A7" s="93"/>
      <c r="B7" s="95"/>
      <c r="C7" s="33">
        <v>4</v>
      </c>
      <c r="D7" s="34" t="s">
        <v>91</v>
      </c>
      <c r="E7" s="40" t="s">
        <v>47</v>
      </c>
      <c r="F7" s="69">
        <v>135.66999999999999</v>
      </c>
      <c r="G7" s="8">
        <f>REITORIA_SEMS!K7+REITORIA_MUSEU!K7+CESFI!K7+CEAD!K7+FAED!K7+CERES!K7+CEFID!K7+CEAVI!K7+ESAG!K7+CEART!K7</f>
        <v>425</v>
      </c>
      <c r="H7" s="19">
        <f>REITORIA_SEMS!K7-REITORIA_SEMS!L7+REITORIA_MUSEU!K7-REITORIA_MUSEU!L7+CESFI!K7-CESFI!L7+CEAD!K7-CEAD!L7+FAED!K7-FAED!L7+CERES!K7-CERES!L7+CEFID!K7-CEFID!L7+CEAVI!K7-CEAVI!L7+ESAG!K7-ESAG!L7+CEART!K7-CEART!L7</f>
        <v>0</v>
      </c>
      <c r="I7" s="15">
        <f t="shared" si="0"/>
        <v>425</v>
      </c>
      <c r="J7" s="6">
        <f t="shared" si="1"/>
        <v>57659.749999999993</v>
      </c>
      <c r="K7" s="7">
        <f t="shared" si="2"/>
        <v>0</v>
      </c>
    </row>
    <row r="8" spans="1:11" ht="45.75" customHeight="1" x14ac:dyDescent="0.25">
      <c r="A8" s="93"/>
      <c r="B8" s="96"/>
      <c r="C8" s="33">
        <v>5</v>
      </c>
      <c r="D8" s="34" t="s">
        <v>92</v>
      </c>
      <c r="E8" s="40" t="s">
        <v>47</v>
      </c>
      <c r="F8" s="69">
        <v>111.99</v>
      </c>
      <c r="G8" s="8">
        <f>REITORIA_SEMS!K8+REITORIA_MUSEU!K8+CESFI!K8+CEAD!K8+FAED!K8+CERES!K8+CEFID!K8+CEAVI!K8+ESAG!K8+CEART!K8</f>
        <v>425</v>
      </c>
      <c r="H8" s="19">
        <f>REITORIA_SEMS!K8-REITORIA_SEMS!L8+REITORIA_MUSEU!K8-REITORIA_MUSEU!L8+CESFI!K8-CESFI!L8+CEAD!K8-CEAD!L8+FAED!K8-FAED!L8+CERES!K8-CERES!L8+CEFID!K8-CEFID!L8+CEAVI!K8-CEAVI!L8+ESAG!K8-ESAG!L8+CEART!K8-CEART!L8</f>
        <v>0</v>
      </c>
      <c r="I8" s="15">
        <f t="shared" si="0"/>
        <v>425</v>
      </c>
      <c r="J8" s="6">
        <f t="shared" si="1"/>
        <v>47595.75</v>
      </c>
      <c r="K8" s="7">
        <f t="shared" si="2"/>
        <v>0</v>
      </c>
    </row>
    <row r="9" spans="1:11" ht="14.25" customHeight="1" x14ac:dyDescent="0.25">
      <c r="A9" s="89">
        <v>2</v>
      </c>
      <c r="B9" s="90" t="s">
        <v>81</v>
      </c>
      <c r="C9" s="42">
        <v>6</v>
      </c>
      <c r="D9" s="18" t="s">
        <v>93</v>
      </c>
      <c r="E9" s="20" t="s">
        <v>48</v>
      </c>
      <c r="F9" s="70">
        <v>130</v>
      </c>
      <c r="G9" s="8">
        <f>REITORIA_SEMS!K9+REITORIA_MUSEU!K9+CESFI!K9+CEAD!K9+FAED!K9+CERES!K9+CEFID!K9+CEAVI!K9+ESAG!K9+CEART!K9</f>
        <v>1810</v>
      </c>
      <c r="H9" s="19">
        <f>REITORIA_SEMS!K9-REITORIA_SEMS!L9+REITORIA_MUSEU!K9-REITORIA_MUSEU!L9+CESFI!K9-CESFI!L9+CEAD!K9-CEAD!L9+FAED!K9-FAED!L9+CERES!K9-CERES!L9+CEFID!K9-CEFID!L9+CEAVI!K9-CEAVI!L9+ESAG!K9-ESAG!L9+CEART!K9-CEART!L9</f>
        <v>0</v>
      </c>
      <c r="I9" s="15">
        <f t="shared" si="0"/>
        <v>1810</v>
      </c>
      <c r="J9" s="6">
        <f t="shared" si="1"/>
        <v>235300</v>
      </c>
      <c r="K9" s="7">
        <f t="shared" si="2"/>
        <v>0</v>
      </c>
    </row>
    <row r="10" spans="1:11" ht="14.25" customHeight="1" x14ac:dyDescent="0.25">
      <c r="A10" s="89"/>
      <c r="B10" s="91"/>
      <c r="C10" s="42">
        <v>7</v>
      </c>
      <c r="D10" s="18" t="s">
        <v>94</v>
      </c>
      <c r="E10" s="20" t="s">
        <v>48</v>
      </c>
      <c r="F10" s="70">
        <v>158</v>
      </c>
      <c r="G10" s="8">
        <f>REITORIA_SEMS!K10+REITORIA_MUSEU!K10+CESFI!K10+CEAD!K10+FAED!K10+CERES!K10+CEFID!K10+CEAVI!K10+ESAG!K10+CEART!K10</f>
        <v>1270</v>
      </c>
      <c r="H10" s="19">
        <f>REITORIA_SEMS!K10-REITORIA_SEMS!L10+REITORIA_MUSEU!K10-REITORIA_MUSEU!L10+CESFI!K10-CESFI!L10+CEAD!K10-CEAD!L10+FAED!K10-FAED!L10+CERES!K10-CERES!L10+CEFID!K10-CEFID!L10+CEAVI!K10-CEAVI!L10+ESAG!K10-ESAG!L10+CEART!K10-CEART!L10</f>
        <v>0</v>
      </c>
      <c r="I10" s="15">
        <f t="shared" si="0"/>
        <v>1270</v>
      </c>
      <c r="J10" s="6">
        <f t="shared" si="1"/>
        <v>200660</v>
      </c>
      <c r="K10" s="7">
        <f t="shared" si="2"/>
        <v>0</v>
      </c>
    </row>
    <row r="11" spans="1:11" ht="14.25" customHeight="1" x14ac:dyDescent="0.25">
      <c r="A11" s="89"/>
      <c r="B11" s="91"/>
      <c r="C11" s="42">
        <v>8</v>
      </c>
      <c r="D11" s="45" t="s">
        <v>95</v>
      </c>
      <c r="E11" s="20" t="s">
        <v>48</v>
      </c>
      <c r="F11" s="70">
        <v>380</v>
      </c>
      <c r="G11" s="8">
        <f>REITORIA_SEMS!K11+REITORIA_MUSEU!K11+CESFI!K11+CEAD!K11+FAED!K11+CERES!K11+CEFID!K11+CEAVI!K11+ESAG!K11+CEART!K11</f>
        <v>95</v>
      </c>
      <c r="H11" s="19">
        <f>REITORIA_SEMS!K11-REITORIA_SEMS!L11+REITORIA_MUSEU!K11-REITORIA_MUSEU!L11+CESFI!K11-CESFI!L11+CEAD!K11-CEAD!L11+FAED!K11-FAED!L11+CERES!K11-CERES!L11+CEFID!K11-CEFID!L11+CEAVI!K11-CEAVI!L11+ESAG!K11-ESAG!L11+CEART!K11-CEART!L11</f>
        <v>0</v>
      </c>
      <c r="I11" s="15">
        <f t="shared" si="0"/>
        <v>95</v>
      </c>
      <c r="J11" s="6">
        <f t="shared" si="1"/>
        <v>36100</v>
      </c>
      <c r="K11" s="7">
        <f t="shared" si="2"/>
        <v>0</v>
      </c>
    </row>
    <row r="12" spans="1:11" ht="14.25" customHeight="1" x14ac:dyDescent="0.25">
      <c r="A12" s="89"/>
      <c r="B12" s="91"/>
      <c r="C12" s="42">
        <v>9</v>
      </c>
      <c r="D12" s="45" t="s">
        <v>96</v>
      </c>
      <c r="E12" s="20" t="s">
        <v>48</v>
      </c>
      <c r="F12" s="71">
        <v>293.85000000000002</v>
      </c>
      <c r="G12" s="8">
        <f>REITORIA_SEMS!K12+REITORIA_MUSEU!K12+CESFI!K12+CEAD!K12+FAED!K12+CERES!K12+CEFID!K12+CEAVI!K12+ESAG!K12+CEART!K12</f>
        <v>93</v>
      </c>
      <c r="H12" s="19">
        <f>REITORIA_SEMS!K12-REITORIA_SEMS!L12+REITORIA_MUSEU!K12-REITORIA_MUSEU!L12+CESFI!K12-CESFI!L12+CEAD!K12-CEAD!L12+FAED!K12-FAED!L12+CERES!K12-CERES!L12+CEFID!K12-CEFID!L12+CEAVI!K12-CEAVI!L12+ESAG!K12-ESAG!L12+CEART!K12-CEART!L12</f>
        <v>0</v>
      </c>
      <c r="I12" s="15">
        <f t="shared" si="0"/>
        <v>93</v>
      </c>
      <c r="J12" s="6">
        <f t="shared" si="1"/>
        <v>27328.050000000003</v>
      </c>
      <c r="K12" s="7">
        <f t="shared" si="2"/>
        <v>0</v>
      </c>
    </row>
    <row r="13" spans="1:11" ht="14.25" customHeight="1" x14ac:dyDescent="0.25">
      <c r="A13" s="89"/>
      <c r="B13" s="91"/>
      <c r="C13" s="42">
        <v>10</v>
      </c>
      <c r="D13" s="18" t="s">
        <v>33</v>
      </c>
      <c r="E13" s="20" t="s">
        <v>48</v>
      </c>
      <c r="F13" s="71">
        <v>24</v>
      </c>
      <c r="G13" s="8">
        <f>REITORIA_SEMS!K13+REITORIA_MUSEU!K13+CESFI!K13+CEAD!K13+FAED!K13+CERES!K13+CEFID!K13+CEAVI!K13+ESAG!K13+CEART!K13</f>
        <v>1640</v>
      </c>
      <c r="H13" s="19">
        <f>REITORIA_SEMS!K13-REITORIA_SEMS!L13+REITORIA_MUSEU!K13-REITORIA_MUSEU!L13+CESFI!K13-CESFI!L13+CEAD!K13-CEAD!L13+FAED!K13-FAED!L13+CERES!K13-CERES!L13+CEFID!K13-CEFID!L13+CEAVI!K13-CEAVI!L13+ESAG!K13-ESAG!L13+CEART!K13-CEART!L13</f>
        <v>0</v>
      </c>
      <c r="I13" s="15">
        <f t="shared" si="0"/>
        <v>1640</v>
      </c>
      <c r="J13" s="6">
        <f t="shared" si="1"/>
        <v>39360</v>
      </c>
      <c r="K13" s="7">
        <f t="shared" si="2"/>
        <v>0</v>
      </c>
    </row>
    <row r="14" spans="1:11" ht="14.25" customHeight="1" x14ac:dyDescent="0.25">
      <c r="A14" s="89"/>
      <c r="B14" s="92"/>
      <c r="C14" s="42">
        <v>11</v>
      </c>
      <c r="D14" s="18" t="s">
        <v>34</v>
      </c>
      <c r="E14" s="20" t="s">
        <v>48</v>
      </c>
      <c r="F14" s="71">
        <v>25</v>
      </c>
      <c r="G14" s="8">
        <f>REITORIA_SEMS!K14+REITORIA_MUSEU!K14+CESFI!K14+CEAD!K14+FAED!K14+CERES!K14+CEFID!K14+CEAVI!K14+ESAG!K14+CEART!K14</f>
        <v>1930</v>
      </c>
      <c r="H14" s="19">
        <f>REITORIA_SEMS!K14-REITORIA_SEMS!L14+REITORIA_MUSEU!K14-REITORIA_MUSEU!L14+CESFI!K14-CESFI!L14+CEAD!K14-CEAD!L14+FAED!K14-FAED!L14+CERES!K14-CERES!L14+CEFID!K14-CEFID!L14+CEAVI!K14-CEAVI!L14+ESAG!K14-ESAG!L14+CEART!K14-CEART!L14</f>
        <v>0</v>
      </c>
      <c r="I14" s="15">
        <f t="shared" si="0"/>
        <v>1930</v>
      </c>
      <c r="J14" s="6">
        <f t="shared" si="1"/>
        <v>48250</v>
      </c>
      <c r="K14" s="7">
        <f t="shared" si="2"/>
        <v>0</v>
      </c>
    </row>
    <row r="15" spans="1:11" ht="45" x14ac:dyDescent="0.25">
      <c r="A15" s="55">
        <v>3</v>
      </c>
      <c r="B15" s="56" t="s">
        <v>82</v>
      </c>
      <c r="C15" s="33">
        <v>12</v>
      </c>
      <c r="D15" s="49" t="s">
        <v>97</v>
      </c>
      <c r="E15" s="32" t="s">
        <v>51</v>
      </c>
      <c r="F15" s="53">
        <v>50.15</v>
      </c>
      <c r="G15" s="8">
        <f>REITORIA_SEMS!K15+REITORIA_MUSEU!K15+CESFI!K15+CEAD!K15+FAED!K15+CERES!K15+CEFID!K15+CEAVI!K15+ESAG!K15+CEART!K15</f>
        <v>2961</v>
      </c>
      <c r="H15" s="19">
        <f>REITORIA_SEMS!K15-REITORIA_SEMS!L15+REITORIA_MUSEU!K15-REITORIA_MUSEU!L15+CESFI!K15-CESFI!L15+CEAD!K15-CEAD!L15+FAED!K15-FAED!L15+CERES!K15-CERES!L15+CEFID!K15-CEFID!L15+CEAVI!K15-CEAVI!L15+ESAG!K15-ESAG!L15+CEART!K15-CEART!L15</f>
        <v>0</v>
      </c>
      <c r="I15" s="15">
        <f t="shared" si="0"/>
        <v>2961</v>
      </c>
      <c r="J15" s="6">
        <f t="shared" si="1"/>
        <v>148494.15</v>
      </c>
      <c r="K15" s="7">
        <f t="shared" si="2"/>
        <v>0</v>
      </c>
    </row>
    <row r="16" spans="1:11" ht="14.25" customHeight="1" x14ac:dyDescent="0.25">
      <c r="A16" s="89">
        <v>4</v>
      </c>
      <c r="B16" s="90" t="s">
        <v>83</v>
      </c>
      <c r="C16" s="42">
        <v>13</v>
      </c>
      <c r="D16" s="18" t="s">
        <v>98</v>
      </c>
      <c r="E16" s="20" t="s">
        <v>53</v>
      </c>
      <c r="F16" s="70">
        <v>90</v>
      </c>
      <c r="G16" s="8">
        <f>REITORIA_SEMS!K16+REITORIA_MUSEU!K16+CESFI!K16+CEAD!K16+FAED!K16+CERES!K16+CEFID!K16+CEAVI!K16+ESAG!K16+CEART!K16</f>
        <v>1510</v>
      </c>
      <c r="H16" s="19">
        <f>REITORIA_SEMS!K16-REITORIA_SEMS!L16+REITORIA_MUSEU!K16-REITORIA_MUSEU!L16+CESFI!K16-CESFI!L16+CEAD!K16-CEAD!L16+FAED!K16-FAED!L16+CERES!K16-CERES!L16+CEFID!K16-CEFID!L16+CEAVI!K16-CEAVI!L16+ESAG!K16-ESAG!L16+CEART!K16-CEART!L16</f>
        <v>3.4350000000000023</v>
      </c>
      <c r="I16" s="15">
        <f t="shared" si="0"/>
        <v>1506.5650000000001</v>
      </c>
      <c r="J16" s="6">
        <f t="shared" si="1"/>
        <v>135900</v>
      </c>
      <c r="K16" s="7">
        <f t="shared" si="2"/>
        <v>309.1500000000002</v>
      </c>
    </row>
    <row r="17" spans="1:11" ht="14.25" customHeight="1" x14ac:dyDescent="0.25">
      <c r="A17" s="89"/>
      <c r="B17" s="91"/>
      <c r="C17" s="42">
        <v>14</v>
      </c>
      <c r="D17" s="18" t="s">
        <v>99</v>
      </c>
      <c r="E17" s="20" t="s">
        <v>55</v>
      </c>
      <c r="F17" s="70">
        <v>60</v>
      </c>
      <c r="G17" s="8">
        <f>REITORIA_SEMS!K17+REITORIA_MUSEU!K17+CESFI!K17+CEAD!K17+FAED!K17+CERES!K17+CEFID!K17+CEAVI!K17+ESAG!K17+CEART!K17</f>
        <v>830</v>
      </c>
      <c r="H17" s="19">
        <f>REITORIA_SEMS!K17-REITORIA_SEMS!L17+REITORIA_MUSEU!K17-REITORIA_MUSEU!L17+CESFI!K17-CESFI!L17+CEAD!K17-CEAD!L17+FAED!K17-FAED!L17+CERES!K17-CERES!L17+CEFID!K17-CEFID!L17+CEAVI!K17-CEAVI!L17+ESAG!K17-ESAG!L17+CEART!K17-CEART!L17</f>
        <v>0</v>
      </c>
      <c r="I17" s="15">
        <f t="shared" si="0"/>
        <v>830</v>
      </c>
      <c r="J17" s="6">
        <f t="shared" si="1"/>
        <v>49800</v>
      </c>
      <c r="K17" s="7">
        <f t="shared" si="2"/>
        <v>0</v>
      </c>
    </row>
    <row r="18" spans="1:11" ht="14.25" customHeight="1" x14ac:dyDescent="0.25">
      <c r="A18" s="89"/>
      <c r="B18" s="91"/>
      <c r="C18" s="42">
        <v>15</v>
      </c>
      <c r="D18" s="18" t="s">
        <v>100</v>
      </c>
      <c r="E18" s="20" t="s">
        <v>56</v>
      </c>
      <c r="F18" s="70">
        <v>236</v>
      </c>
      <c r="G18" s="8">
        <f>REITORIA_SEMS!K18+REITORIA_MUSEU!K18+CESFI!K18+CEAD!K18+FAED!K18+CERES!K18+CEFID!K18+CEAVI!K18+ESAG!K18+CEART!K18</f>
        <v>575</v>
      </c>
      <c r="H18" s="19">
        <f>REITORIA_SEMS!K18-REITORIA_SEMS!L18+REITORIA_MUSEU!K18-REITORIA_MUSEU!L18+CESFI!K18-CESFI!L18+CEAD!K18-CEAD!L18+FAED!K18-FAED!L18+CERES!K18-CERES!L18+CEFID!K18-CEFID!L18+CEAVI!K18-CEAVI!L18+ESAG!K18-ESAG!L18+CEART!K18-CEART!L18</f>
        <v>0</v>
      </c>
      <c r="I18" s="15">
        <f t="shared" si="0"/>
        <v>575</v>
      </c>
      <c r="J18" s="6">
        <f t="shared" si="1"/>
        <v>135700</v>
      </c>
      <c r="K18" s="7">
        <f t="shared" si="2"/>
        <v>0</v>
      </c>
    </row>
    <row r="19" spans="1:11" ht="14.25" customHeight="1" x14ac:dyDescent="0.25">
      <c r="A19" s="89"/>
      <c r="B19" s="92"/>
      <c r="C19" s="42">
        <v>16</v>
      </c>
      <c r="D19" s="18" t="s">
        <v>101</v>
      </c>
      <c r="E19" s="20" t="s">
        <v>57</v>
      </c>
      <c r="F19" s="70">
        <v>238.94</v>
      </c>
      <c r="G19" s="8">
        <f>REITORIA_SEMS!K19+REITORIA_MUSEU!K19+CESFI!K19+CEAD!K19+FAED!K19+CERES!K19+CEFID!K19+CEAVI!K19+ESAG!K19+CEART!K19</f>
        <v>760</v>
      </c>
      <c r="H19" s="19">
        <f>REITORIA_SEMS!K19-REITORIA_SEMS!L19+REITORIA_MUSEU!K19-REITORIA_MUSEU!L19+CESFI!K19-CESFI!L19+CEAD!K19-CEAD!L19+FAED!K19-FAED!L19+CERES!K19-CERES!L19+CEFID!K19-CEFID!L19+CEAVI!K19-CEAVI!L19+ESAG!K19-ESAG!L19+CEART!K19-CEART!L19</f>
        <v>0</v>
      </c>
      <c r="I19" s="15">
        <f t="shared" si="0"/>
        <v>760</v>
      </c>
      <c r="J19" s="6">
        <f t="shared" si="1"/>
        <v>181594.4</v>
      </c>
      <c r="K19" s="7">
        <f t="shared" si="2"/>
        <v>0</v>
      </c>
    </row>
    <row r="20" spans="1:11" ht="105" x14ac:dyDescent="0.25">
      <c r="A20" s="55">
        <v>5</v>
      </c>
      <c r="B20" s="56" t="s">
        <v>84</v>
      </c>
      <c r="C20" s="51">
        <v>17</v>
      </c>
      <c r="D20" s="27" t="s">
        <v>58</v>
      </c>
      <c r="E20" s="28" t="s">
        <v>59</v>
      </c>
      <c r="F20" s="72">
        <v>79</v>
      </c>
      <c r="G20" s="8">
        <f>REITORIA_SEMS!K20+REITORIA_MUSEU!K20+CESFI!K20+CEAD!K20+FAED!K20+CERES!K20+CEFID!K20+CEAVI!K20+ESAG!K20+CEART!K20</f>
        <v>200</v>
      </c>
      <c r="H20" s="19">
        <f>REITORIA_SEMS!K20-REITORIA_SEMS!L20+REITORIA_MUSEU!K20-REITORIA_MUSEU!L20+CESFI!K20-CESFI!L20+CEAD!K20-CEAD!L20+FAED!K20-FAED!L20+CERES!K20-CERES!L20+CEFID!K20-CEFID!L20+CEAVI!K20-CEAVI!L20+ESAG!K20-ESAG!L20+CEART!K20-CEART!L20</f>
        <v>0</v>
      </c>
      <c r="I20" s="15">
        <f t="shared" si="0"/>
        <v>200</v>
      </c>
      <c r="J20" s="6">
        <f t="shared" si="1"/>
        <v>15800</v>
      </c>
      <c r="K20" s="7">
        <f t="shared" si="2"/>
        <v>0</v>
      </c>
    </row>
    <row r="21" spans="1:11" ht="225" x14ac:dyDescent="0.25">
      <c r="A21" s="57">
        <v>6</v>
      </c>
      <c r="B21" s="58" t="s">
        <v>85</v>
      </c>
      <c r="C21" s="42">
        <v>18</v>
      </c>
      <c r="D21" s="18" t="s">
        <v>61</v>
      </c>
      <c r="E21" s="20" t="s">
        <v>62</v>
      </c>
      <c r="F21" s="73">
        <v>128.33000000000001</v>
      </c>
      <c r="G21" s="8">
        <f>REITORIA_SEMS!K21+REITORIA_MUSEU!K21+CESFI!K21+CEAD!K21+FAED!K21+CERES!K21+CEFID!K21+CEAVI!K21+ESAG!K21+CEART!K21</f>
        <v>120</v>
      </c>
      <c r="H21" s="19">
        <f>REITORIA_SEMS!K21-REITORIA_SEMS!L21+REITORIA_MUSEU!K21-REITORIA_MUSEU!L21+CESFI!K21-CESFI!L21+CEAD!K21-CEAD!L21+FAED!K21-FAED!L21+CERES!K21-CERES!L21+CEFID!K21-CEFID!L21+CEAVI!K21-CEAVI!L21+ESAG!K21-ESAG!L21+CEART!K21-CEART!L21</f>
        <v>0</v>
      </c>
      <c r="I21" s="15">
        <f t="shared" si="0"/>
        <v>120</v>
      </c>
      <c r="J21" s="6">
        <f t="shared" si="1"/>
        <v>15399.600000000002</v>
      </c>
      <c r="K21" s="7">
        <f t="shared" si="2"/>
        <v>0</v>
      </c>
    </row>
    <row r="22" spans="1:11" ht="90" x14ac:dyDescent="0.25">
      <c r="A22" s="55">
        <v>8</v>
      </c>
      <c r="B22" s="56" t="s">
        <v>86</v>
      </c>
      <c r="C22" s="51">
        <v>20</v>
      </c>
      <c r="D22" s="29" t="s">
        <v>64</v>
      </c>
      <c r="E22" s="28" t="s">
        <v>65</v>
      </c>
      <c r="F22" s="72">
        <v>39.99</v>
      </c>
      <c r="G22" s="8">
        <f>REITORIA_SEMS!K22+REITORIA_MUSEU!K22+CESFI!K22+CEAD!K22+FAED!K22+CERES!K22+CEFID!K22+CEAVI!K22+ESAG!K22+CEART!K22</f>
        <v>500</v>
      </c>
      <c r="H22" s="19">
        <f>REITORIA_SEMS!K22-REITORIA_SEMS!L22+REITORIA_MUSEU!K22-REITORIA_MUSEU!L22+CESFI!K22-CESFI!L22+CEAD!K22-CEAD!L22+FAED!K22-FAED!L22+CERES!K22-CERES!L22+CEFID!K22-CEFID!L22+CEAVI!K22-CEAVI!L22+ESAG!K22-ESAG!L22+CEART!K22-CEART!L22</f>
        <v>0</v>
      </c>
      <c r="I22" s="15">
        <f t="shared" si="0"/>
        <v>500</v>
      </c>
      <c r="J22" s="6">
        <f t="shared" si="1"/>
        <v>19995</v>
      </c>
      <c r="K22" s="7">
        <f t="shared" si="2"/>
        <v>0</v>
      </c>
    </row>
    <row r="23" spans="1:11" ht="150" x14ac:dyDescent="0.25">
      <c r="A23" s="57">
        <v>9</v>
      </c>
      <c r="B23" s="58" t="s">
        <v>86</v>
      </c>
      <c r="C23" s="42">
        <v>21</v>
      </c>
      <c r="D23" s="30" t="s">
        <v>67</v>
      </c>
      <c r="E23" s="31" t="s">
        <v>68</v>
      </c>
      <c r="F23" s="70">
        <v>39.99</v>
      </c>
      <c r="G23" s="8">
        <f>REITORIA_SEMS!K23+REITORIA_MUSEU!K23+CESFI!K23+CEAD!K23+FAED!K23+CERES!K23+CEFID!K23+CEAVI!K23+ESAG!K23+CEART!K23</f>
        <v>550</v>
      </c>
      <c r="H23" s="19">
        <f>REITORIA_SEMS!K23-REITORIA_SEMS!L23+REITORIA_MUSEU!K23-REITORIA_MUSEU!L23+CESFI!K23-CESFI!L23+CEAD!K23-CEAD!L23+FAED!K23-FAED!L23+CERES!K23-CERES!L23+CEFID!K23-CEFID!L23+CEAVI!K23-CEAVI!L23+ESAG!K23-ESAG!L23+CEART!K23-CEART!L23</f>
        <v>0</v>
      </c>
      <c r="I23" s="15">
        <f t="shared" si="0"/>
        <v>550</v>
      </c>
      <c r="J23" s="6">
        <f t="shared" si="1"/>
        <v>21994.5</v>
      </c>
      <c r="K23" s="7">
        <f t="shared" si="2"/>
        <v>0</v>
      </c>
    </row>
    <row r="24" spans="1:11" ht="105" x14ac:dyDescent="0.25">
      <c r="A24" s="55">
        <v>10</v>
      </c>
      <c r="B24" s="56" t="s">
        <v>86</v>
      </c>
      <c r="C24" s="51">
        <v>22</v>
      </c>
      <c r="D24" s="29" t="s">
        <v>69</v>
      </c>
      <c r="E24" s="28" t="s">
        <v>70</v>
      </c>
      <c r="F24" s="70">
        <v>119.55</v>
      </c>
      <c r="G24" s="8">
        <f>REITORIA_SEMS!K24+REITORIA_MUSEU!K24+CESFI!K24+CEAD!K24+FAED!K24+CERES!K24+CEFID!K24+CEAVI!K24+ESAG!K24+CEART!K24</f>
        <v>450</v>
      </c>
      <c r="H24" s="19">
        <f>REITORIA_SEMS!K24-REITORIA_SEMS!L24+REITORIA_MUSEU!K24-REITORIA_MUSEU!L24+CESFI!K24-CESFI!L24+CEAD!K24-CEAD!L24+FAED!K24-FAED!L24+CERES!K24-CERES!L24+CEFID!K24-CEFID!L24+CEAVI!K24-CEAVI!L24+ESAG!K24-ESAG!L24+CEART!K24-CEART!L24</f>
        <v>0</v>
      </c>
      <c r="I24" s="15">
        <f t="shared" si="0"/>
        <v>450</v>
      </c>
      <c r="J24" s="6">
        <f t="shared" si="1"/>
        <v>53797.5</v>
      </c>
      <c r="K24" s="7">
        <f t="shared" si="2"/>
        <v>0</v>
      </c>
    </row>
    <row r="25" spans="1:11" ht="60" x14ac:dyDescent="0.25">
      <c r="A25" s="57">
        <v>11</v>
      </c>
      <c r="B25" s="58" t="s">
        <v>87</v>
      </c>
      <c r="C25" s="42">
        <v>23</v>
      </c>
      <c r="D25" s="18" t="s">
        <v>35</v>
      </c>
      <c r="E25" s="20" t="s">
        <v>72</v>
      </c>
      <c r="F25" s="74">
        <v>37.03</v>
      </c>
      <c r="G25" s="8">
        <f>REITORIA_SEMS!K25+REITORIA_MUSEU!K25+CESFI!K25+CEAD!K25+FAED!K25+CERES!K25+CEFID!K25+CEAVI!K25+ESAG!K25+CEART!K25</f>
        <v>900</v>
      </c>
      <c r="H25" s="19">
        <f>REITORIA_SEMS!K25-REITORIA_SEMS!L25+REITORIA_MUSEU!K25-REITORIA_MUSEU!L25+CESFI!K25-CESFI!L25+CEAD!K25-CEAD!L25+FAED!K25-FAED!L25+CERES!K25-CERES!L25+CEFID!K25-CEFID!L25+CEAVI!K25-CEAVI!L25+ESAG!K25-ESAG!L25+CEART!K25-CEART!L25</f>
        <v>0</v>
      </c>
      <c r="I25" s="15">
        <f t="shared" si="0"/>
        <v>900</v>
      </c>
      <c r="J25" s="6">
        <f t="shared" si="1"/>
        <v>33327</v>
      </c>
      <c r="K25" s="7">
        <f t="shared" si="2"/>
        <v>0</v>
      </c>
    </row>
    <row r="26" spans="1:11" ht="90" x14ac:dyDescent="0.25">
      <c r="A26" s="55">
        <v>12</v>
      </c>
      <c r="B26" s="59" t="s">
        <v>87</v>
      </c>
      <c r="C26" s="54">
        <v>24</v>
      </c>
      <c r="D26" s="49" t="s">
        <v>76</v>
      </c>
      <c r="E26" s="32" t="s">
        <v>77</v>
      </c>
      <c r="F26" s="75">
        <v>599.78</v>
      </c>
      <c r="G26" s="8">
        <f>REITORIA_SEMS!K26+REITORIA_MUSEU!K26+CESFI!K26+CEAD!K26+FAED!K26+CERES!K26+CEFID!K26+CEAVI!K26+ESAG!K26+CEART!K26</f>
        <v>46</v>
      </c>
      <c r="H26" s="19">
        <f>REITORIA_SEMS!K26-REITORIA_SEMS!L26+REITORIA_MUSEU!K26-REITORIA_MUSEU!L26+CESFI!K26-CESFI!L26+CEAD!K26-CEAD!L26+FAED!K26-FAED!L26+CERES!K26-CERES!L26+CEFID!K26-CEFID!L26+CEAVI!K26-CEAVI!L26+ESAG!K26-ESAG!L26+CEART!K26-CEART!L26</f>
        <v>0</v>
      </c>
      <c r="I26" s="15">
        <f t="shared" si="0"/>
        <v>46</v>
      </c>
      <c r="J26" s="6">
        <f t="shared" si="1"/>
        <v>27589.879999999997</v>
      </c>
      <c r="K26" s="7">
        <f t="shared" si="2"/>
        <v>0</v>
      </c>
    </row>
    <row r="27" spans="1:11" ht="36.75" customHeight="1" x14ac:dyDescent="0.25">
      <c r="G27" s="5">
        <f>SUM(G4:G26)</f>
        <v>17876</v>
      </c>
      <c r="H27" s="86">
        <f>SUM(H4:H26)</f>
        <v>3.4350000000000023</v>
      </c>
      <c r="I27" s="5">
        <f>SUM(I4:I26)</f>
        <v>17872.565000000002</v>
      </c>
      <c r="J27" s="17">
        <f>SUM(J4:J26)</f>
        <v>1601159.88</v>
      </c>
      <c r="K27" s="17">
        <f>SUM(K4:K26)</f>
        <v>309.1500000000002</v>
      </c>
    </row>
    <row r="28" spans="1:11" ht="15" x14ac:dyDescent="0.25"/>
    <row r="29" spans="1:11" ht="15" x14ac:dyDescent="0.25">
      <c r="G29" s="97" t="str">
        <f>A1</f>
        <v>PE 0654/2024 SRP - (SGPE DE ORIGEM: 8475/2024)</v>
      </c>
      <c r="H29" s="97"/>
      <c r="I29" s="97"/>
      <c r="J29" s="97"/>
      <c r="K29" s="97"/>
    </row>
    <row r="30" spans="1:11" ht="42.75" customHeight="1" x14ac:dyDescent="0.25">
      <c r="G30" s="98" t="str">
        <f>D1</f>
        <v>OBJETO: AQUISIÇÃO DE DIVISÓRIAS, VIDROS, CORTINAS E SIMILARES PARA O CAMPUS I, CERES, CESFI E CEAVI PARA ATENDER ÀS NECESSIDADES DA UNIVERSIDADE DO ESTADO DE SANTA CATARINA (UDESC)</v>
      </c>
      <c r="H30" s="98"/>
      <c r="I30" s="98"/>
      <c r="J30" s="98"/>
      <c r="K30" s="98"/>
    </row>
    <row r="31" spans="1:11" ht="15" x14ac:dyDescent="0.25">
      <c r="G31" s="97" t="str">
        <f>G1</f>
        <v>VIGÊNCIA DA ATA: 14/05/2024 a 14/05/2025</v>
      </c>
      <c r="H31" s="97"/>
      <c r="I31" s="97"/>
      <c r="J31" s="97"/>
      <c r="K31" s="97"/>
    </row>
    <row r="32" spans="1:11" ht="15" x14ac:dyDescent="0.25">
      <c r="G32" s="76" t="s">
        <v>9</v>
      </c>
      <c r="H32" s="77"/>
      <c r="I32" s="77"/>
      <c r="J32" s="77"/>
      <c r="K32" s="78">
        <f>J27</f>
        <v>1601159.88</v>
      </c>
    </row>
    <row r="33" spans="7:11" ht="15" x14ac:dyDescent="0.25">
      <c r="G33" s="79" t="s">
        <v>10</v>
      </c>
      <c r="H33" s="80"/>
      <c r="I33" s="80"/>
      <c r="J33" s="80"/>
      <c r="K33" s="81">
        <f>K27</f>
        <v>309.1500000000002</v>
      </c>
    </row>
    <row r="34" spans="7:11" ht="15" x14ac:dyDescent="0.25">
      <c r="G34" s="79" t="s">
        <v>11</v>
      </c>
      <c r="H34" s="80"/>
      <c r="I34" s="80"/>
      <c r="J34" s="80"/>
      <c r="K34" s="82"/>
    </row>
    <row r="35" spans="7:11" ht="15" x14ac:dyDescent="0.25">
      <c r="G35" s="83" t="s">
        <v>12</v>
      </c>
      <c r="H35" s="84"/>
      <c r="I35" s="84"/>
      <c r="J35" s="84"/>
      <c r="K35" s="85">
        <f>K33/K32</f>
        <v>1.9307878236369513E-4</v>
      </c>
    </row>
    <row r="36" spans="7:11" ht="15" x14ac:dyDescent="0.25">
      <c r="G36" s="99" t="s">
        <v>114</v>
      </c>
      <c r="H36" s="100"/>
      <c r="I36" s="100"/>
      <c r="J36" s="100"/>
      <c r="K36" s="101"/>
    </row>
  </sheetData>
  <mergeCells count="14">
    <mergeCell ref="G31:K31"/>
    <mergeCell ref="G29:K29"/>
    <mergeCell ref="G30:K30"/>
    <mergeCell ref="G36:K36"/>
    <mergeCell ref="A1:C1"/>
    <mergeCell ref="A2:K2"/>
    <mergeCell ref="D1:F1"/>
    <mergeCell ref="G1:K1"/>
    <mergeCell ref="A4:A8"/>
    <mergeCell ref="B4:B8"/>
    <mergeCell ref="A9:A14"/>
    <mergeCell ref="B9:B14"/>
    <mergeCell ref="A16:A19"/>
    <mergeCell ref="B16:B1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1"/>
  <sheetViews>
    <sheetView topLeftCell="A16" zoomScale="80" zoomScaleNormal="80" workbookViewId="0">
      <selection activeCell="K27" sqref="K27"/>
    </sheetView>
  </sheetViews>
  <sheetFormatPr defaultColWidth="9.7109375" defaultRowHeight="15" x14ac:dyDescent="0.25"/>
  <cols>
    <col min="1" max="1" width="7.140625" style="1" customWidth="1"/>
    <col min="2" max="2" width="23.42578125" style="1" customWidth="1"/>
    <col min="3" max="3" width="6" style="12" bestFit="1" customWidth="1"/>
    <col min="4" max="4" width="48.42578125" style="1" customWidth="1"/>
    <col min="5" max="5" width="19" style="1" customWidth="1"/>
    <col min="6" max="6" width="9.28515625" style="1" customWidth="1"/>
    <col min="7" max="7" width="12" style="1" bestFit="1" customWidth="1"/>
    <col min="8" max="8" width="8.85546875" style="1" customWidth="1"/>
    <col min="9" max="9" width="10.140625" style="1" bestFit="1" customWidth="1"/>
    <col min="10" max="10" width="13.42578125" style="16" bestFit="1" customWidth="1"/>
    <col min="11" max="11" width="11.5703125" style="4" customWidth="1"/>
    <col min="12" max="12" width="11" style="13" customWidth="1"/>
    <col min="13" max="13" width="10.85546875" style="5" customWidth="1"/>
    <col min="14" max="14" width="13.85546875" style="4" customWidth="1"/>
    <col min="15" max="15" width="12.7109375" style="4" customWidth="1"/>
    <col min="16" max="16" width="14.85546875" style="4" customWidth="1"/>
    <col min="17" max="17" width="14.140625" style="4" customWidth="1"/>
    <col min="18" max="18" width="15.28515625" style="4" customWidth="1"/>
    <col min="19" max="19" width="15.42578125" style="4" customWidth="1"/>
    <col min="20" max="20" width="17.85546875" style="4" customWidth="1"/>
    <col min="21" max="21" width="14" style="4" customWidth="1"/>
    <col min="22" max="22" width="13.5703125" style="4" customWidth="1"/>
    <col min="23" max="23" width="14.5703125" style="4" customWidth="1"/>
    <col min="24" max="24" width="14" style="4" customWidth="1"/>
    <col min="25" max="25" width="14.28515625" style="4" customWidth="1"/>
    <col min="26" max="31" width="12.7109375" style="2" customWidth="1"/>
    <col min="32" max="16384" width="9.7109375" style="2"/>
  </cols>
  <sheetData>
    <row r="1" spans="1:31" ht="31.7" customHeight="1" x14ac:dyDescent="0.25">
      <c r="A1" s="88" t="s">
        <v>37</v>
      </c>
      <c r="B1" s="88"/>
      <c r="C1" s="88"/>
      <c r="D1" s="88" t="s">
        <v>36</v>
      </c>
      <c r="E1" s="88"/>
      <c r="F1" s="88"/>
      <c r="G1" s="88"/>
      <c r="H1" s="88"/>
      <c r="I1" s="88"/>
      <c r="J1" s="88"/>
      <c r="K1" s="88" t="s">
        <v>38</v>
      </c>
      <c r="L1" s="88"/>
      <c r="M1" s="88"/>
      <c r="N1" s="87" t="s">
        <v>39</v>
      </c>
      <c r="O1" s="87" t="s">
        <v>39</v>
      </c>
      <c r="P1" s="87" t="s">
        <v>39</v>
      </c>
      <c r="Q1" s="87" t="s">
        <v>39</v>
      </c>
      <c r="R1" s="87" t="s">
        <v>39</v>
      </c>
      <c r="S1" s="87" t="s">
        <v>39</v>
      </c>
      <c r="T1" s="87" t="s">
        <v>39</v>
      </c>
      <c r="U1" s="87" t="s">
        <v>39</v>
      </c>
      <c r="V1" s="87" t="s">
        <v>39</v>
      </c>
      <c r="W1" s="87" t="s">
        <v>39</v>
      </c>
      <c r="X1" s="87" t="s">
        <v>39</v>
      </c>
      <c r="Y1" s="87" t="s">
        <v>39</v>
      </c>
      <c r="Z1" s="87" t="s">
        <v>39</v>
      </c>
      <c r="AA1" s="87" t="s">
        <v>39</v>
      </c>
      <c r="AB1" s="87" t="s">
        <v>39</v>
      </c>
      <c r="AC1" s="87" t="s">
        <v>39</v>
      </c>
      <c r="AD1" s="87" t="s">
        <v>39</v>
      </c>
      <c r="AE1" s="87" t="s">
        <v>39</v>
      </c>
    </row>
    <row r="2" spans="1:31" ht="24" customHeight="1" x14ac:dyDescent="0.25">
      <c r="A2" s="88" t="s">
        <v>102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3" customFormat="1" ht="45" x14ac:dyDescent="0.2">
      <c r="A3" s="23" t="s">
        <v>40</v>
      </c>
      <c r="B3" s="23" t="s">
        <v>27</v>
      </c>
      <c r="C3" s="23" t="s">
        <v>3</v>
      </c>
      <c r="D3" s="23" t="s">
        <v>28</v>
      </c>
      <c r="E3" s="23" t="s">
        <v>29</v>
      </c>
      <c r="F3" s="23" t="s">
        <v>42</v>
      </c>
      <c r="G3" s="23" t="s">
        <v>30</v>
      </c>
      <c r="H3" s="23" t="s">
        <v>4</v>
      </c>
      <c r="I3" s="23" t="s">
        <v>31</v>
      </c>
      <c r="J3" s="23" t="s">
        <v>41</v>
      </c>
      <c r="K3" s="10" t="s">
        <v>6</v>
      </c>
      <c r="L3" s="11" t="s">
        <v>0</v>
      </c>
      <c r="M3" s="9" t="s">
        <v>2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9" t="s">
        <v>1</v>
      </c>
      <c r="AD3" s="9" t="s">
        <v>1</v>
      </c>
      <c r="AE3" s="9" t="s">
        <v>1</v>
      </c>
    </row>
    <row r="4" spans="1:31" ht="50.1" customHeight="1" x14ac:dyDescent="0.25">
      <c r="A4" s="93">
        <v>1</v>
      </c>
      <c r="B4" s="94" t="s">
        <v>80</v>
      </c>
      <c r="C4" s="33">
        <v>1</v>
      </c>
      <c r="D4" s="34" t="s">
        <v>88</v>
      </c>
      <c r="E4" s="35" t="s">
        <v>45</v>
      </c>
      <c r="F4" s="36" t="s">
        <v>46</v>
      </c>
      <c r="G4" s="37" t="s">
        <v>17</v>
      </c>
      <c r="H4" s="36" t="s">
        <v>14</v>
      </c>
      <c r="I4" s="36" t="s">
        <v>15</v>
      </c>
      <c r="J4" s="38">
        <v>100</v>
      </c>
      <c r="K4" s="64">
        <f>2</f>
        <v>2</v>
      </c>
      <c r="L4" s="62">
        <f>K4-(SUM(N4:AE4))</f>
        <v>2</v>
      </c>
      <c r="M4" s="63" t="str">
        <f>IF(L4&lt;0,"ATENÇÃO","OK")</f>
        <v>OK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7" customHeight="1" x14ac:dyDescent="0.25">
      <c r="A5" s="93"/>
      <c r="B5" s="95"/>
      <c r="C5" s="33">
        <v>2</v>
      </c>
      <c r="D5" s="39" t="s">
        <v>89</v>
      </c>
      <c r="E5" s="40" t="s">
        <v>47</v>
      </c>
      <c r="F5" s="41" t="s">
        <v>46</v>
      </c>
      <c r="G5" s="37" t="s">
        <v>18</v>
      </c>
      <c r="H5" s="41" t="s">
        <v>14</v>
      </c>
      <c r="I5" s="36" t="s">
        <v>15</v>
      </c>
      <c r="J5" s="38">
        <v>70.44</v>
      </c>
      <c r="K5" s="64">
        <f>0</f>
        <v>0</v>
      </c>
      <c r="L5" s="62">
        <f t="shared" ref="L5:L26" si="0">K5-(SUM(N5:AE5))</f>
        <v>0</v>
      </c>
      <c r="M5" s="63" t="str">
        <f t="shared" ref="M5:M26" si="1">IF(L5&lt;0,"ATENÇÃO","OK")</f>
        <v>OK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50.1" customHeight="1" x14ac:dyDescent="0.25">
      <c r="A6" s="93"/>
      <c r="B6" s="95"/>
      <c r="C6" s="33">
        <v>3</v>
      </c>
      <c r="D6" s="34" t="s">
        <v>90</v>
      </c>
      <c r="E6" s="40" t="s">
        <v>47</v>
      </c>
      <c r="F6" s="36" t="s">
        <v>46</v>
      </c>
      <c r="G6" s="37" t="s">
        <v>20</v>
      </c>
      <c r="H6" s="36" t="s">
        <v>14</v>
      </c>
      <c r="I6" s="36" t="s">
        <v>15</v>
      </c>
      <c r="J6" s="38">
        <v>70.819999999999993</v>
      </c>
      <c r="K6" s="64">
        <f>5</f>
        <v>5</v>
      </c>
      <c r="L6" s="62">
        <f t="shared" si="0"/>
        <v>5</v>
      </c>
      <c r="M6" s="63" t="str">
        <f t="shared" si="1"/>
        <v>OK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50.1" customHeight="1" x14ac:dyDescent="0.25">
      <c r="A7" s="93"/>
      <c r="B7" s="95"/>
      <c r="C7" s="33">
        <v>4</v>
      </c>
      <c r="D7" s="34" t="s">
        <v>91</v>
      </c>
      <c r="E7" s="40" t="s">
        <v>47</v>
      </c>
      <c r="F7" s="36" t="s">
        <v>46</v>
      </c>
      <c r="G7" s="37" t="s">
        <v>21</v>
      </c>
      <c r="H7" s="36" t="s">
        <v>14</v>
      </c>
      <c r="I7" s="36" t="s">
        <v>15</v>
      </c>
      <c r="J7" s="38">
        <v>135.66999999999999</v>
      </c>
      <c r="K7" s="64">
        <f>5</f>
        <v>5</v>
      </c>
      <c r="L7" s="62">
        <f t="shared" si="0"/>
        <v>5</v>
      </c>
      <c r="M7" s="63" t="str">
        <f t="shared" si="1"/>
        <v>OK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50.1" customHeight="1" x14ac:dyDescent="0.25">
      <c r="A8" s="93"/>
      <c r="B8" s="96"/>
      <c r="C8" s="33">
        <v>5</v>
      </c>
      <c r="D8" s="34" t="s">
        <v>92</v>
      </c>
      <c r="E8" s="40" t="s">
        <v>47</v>
      </c>
      <c r="F8" s="36" t="s">
        <v>46</v>
      </c>
      <c r="G8" s="37" t="s">
        <v>22</v>
      </c>
      <c r="H8" s="36" t="s">
        <v>14</v>
      </c>
      <c r="I8" s="36" t="s">
        <v>15</v>
      </c>
      <c r="J8" s="38">
        <v>111.99</v>
      </c>
      <c r="K8" s="64">
        <f>0</f>
        <v>0</v>
      </c>
      <c r="L8" s="62">
        <f t="shared" si="0"/>
        <v>0</v>
      </c>
      <c r="M8" s="63" t="str">
        <f t="shared" si="1"/>
        <v>OK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50.1" customHeight="1" x14ac:dyDescent="0.25">
      <c r="A9" s="89">
        <v>2</v>
      </c>
      <c r="B9" s="90" t="s">
        <v>81</v>
      </c>
      <c r="C9" s="42">
        <v>6</v>
      </c>
      <c r="D9" s="18" t="s">
        <v>93</v>
      </c>
      <c r="E9" s="20" t="s">
        <v>48</v>
      </c>
      <c r="F9" s="43" t="s">
        <v>49</v>
      </c>
      <c r="G9" s="43" t="s">
        <v>19</v>
      </c>
      <c r="H9" s="43" t="s">
        <v>14</v>
      </c>
      <c r="I9" s="43" t="s">
        <v>15</v>
      </c>
      <c r="J9" s="44">
        <v>130</v>
      </c>
      <c r="K9" s="64">
        <f>0</f>
        <v>0</v>
      </c>
      <c r="L9" s="62">
        <f t="shared" si="0"/>
        <v>0</v>
      </c>
      <c r="M9" s="63" t="str">
        <f t="shared" si="1"/>
        <v>OK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50.1" customHeight="1" x14ac:dyDescent="0.25">
      <c r="A10" s="89"/>
      <c r="B10" s="91"/>
      <c r="C10" s="42">
        <v>7</v>
      </c>
      <c r="D10" s="18" t="s">
        <v>94</v>
      </c>
      <c r="E10" s="20" t="s">
        <v>48</v>
      </c>
      <c r="F10" s="43" t="s">
        <v>49</v>
      </c>
      <c r="G10" s="43" t="s">
        <v>19</v>
      </c>
      <c r="H10" s="43" t="s">
        <v>14</v>
      </c>
      <c r="I10" s="43" t="s">
        <v>15</v>
      </c>
      <c r="J10" s="44">
        <v>158</v>
      </c>
      <c r="K10" s="64">
        <f>0</f>
        <v>0</v>
      </c>
      <c r="L10" s="62">
        <f t="shared" si="0"/>
        <v>0</v>
      </c>
      <c r="M10" s="63" t="str">
        <f t="shared" si="1"/>
        <v>OK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50.1" customHeight="1" x14ac:dyDescent="0.25">
      <c r="A11" s="89"/>
      <c r="B11" s="91"/>
      <c r="C11" s="42">
        <v>8</v>
      </c>
      <c r="D11" s="45" t="s">
        <v>95</v>
      </c>
      <c r="E11" s="20" t="s">
        <v>48</v>
      </c>
      <c r="F11" s="43" t="s">
        <v>49</v>
      </c>
      <c r="G11" s="43" t="s">
        <v>23</v>
      </c>
      <c r="H11" s="43" t="s">
        <v>24</v>
      </c>
      <c r="I11" s="46" t="s">
        <v>15</v>
      </c>
      <c r="J11" s="44">
        <v>380</v>
      </c>
      <c r="K11" s="64">
        <f>0</f>
        <v>0</v>
      </c>
      <c r="L11" s="62">
        <f t="shared" si="0"/>
        <v>0</v>
      </c>
      <c r="M11" s="63" t="str">
        <f t="shared" si="1"/>
        <v>OK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50.1" customHeight="1" x14ac:dyDescent="0.25">
      <c r="A12" s="89"/>
      <c r="B12" s="91"/>
      <c r="C12" s="42">
        <v>9</v>
      </c>
      <c r="D12" s="45" t="s">
        <v>96</v>
      </c>
      <c r="E12" s="20" t="s">
        <v>48</v>
      </c>
      <c r="F12" s="43" t="s">
        <v>49</v>
      </c>
      <c r="G12" s="43" t="s">
        <v>23</v>
      </c>
      <c r="H12" s="43" t="s">
        <v>24</v>
      </c>
      <c r="I12" s="46" t="s">
        <v>15</v>
      </c>
      <c r="J12" s="47">
        <v>293.85000000000002</v>
      </c>
      <c r="K12" s="64">
        <f>0</f>
        <v>0</v>
      </c>
      <c r="L12" s="62">
        <f t="shared" si="0"/>
        <v>0</v>
      </c>
      <c r="M12" s="63" t="str">
        <f t="shared" si="1"/>
        <v>OK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34.5" customHeight="1" x14ac:dyDescent="0.25">
      <c r="A13" s="89"/>
      <c r="B13" s="91"/>
      <c r="C13" s="42">
        <v>10</v>
      </c>
      <c r="D13" s="18" t="s">
        <v>33</v>
      </c>
      <c r="E13" s="20" t="s">
        <v>48</v>
      </c>
      <c r="F13" s="48" t="s">
        <v>50</v>
      </c>
      <c r="G13" s="43" t="s">
        <v>32</v>
      </c>
      <c r="H13" s="43" t="s">
        <v>14</v>
      </c>
      <c r="I13" s="43" t="s">
        <v>16</v>
      </c>
      <c r="J13" s="47">
        <v>24</v>
      </c>
      <c r="K13" s="64">
        <f>0</f>
        <v>0</v>
      </c>
      <c r="L13" s="62">
        <f t="shared" si="0"/>
        <v>0</v>
      </c>
      <c r="M13" s="63" t="str">
        <f t="shared" si="1"/>
        <v>OK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39.75" customHeight="1" x14ac:dyDescent="0.25">
      <c r="A14" s="89"/>
      <c r="B14" s="92"/>
      <c r="C14" s="42">
        <v>11</v>
      </c>
      <c r="D14" s="18" t="s">
        <v>34</v>
      </c>
      <c r="E14" s="20" t="s">
        <v>48</v>
      </c>
      <c r="F14" s="48" t="s">
        <v>50</v>
      </c>
      <c r="G14" s="43" t="s">
        <v>32</v>
      </c>
      <c r="H14" s="43" t="s">
        <v>14</v>
      </c>
      <c r="I14" s="43" t="s">
        <v>16</v>
      </c>
      <c r="J14" s="47">
        <v>25</v>
      </c>
      <c r="K14" s="64">
        <f>0</f>
        <v>0</v>
      </c>
      <c r="L14" s="62">
        <f t="shared" si="0"/>
        <v>0</v>
      </c>
      <c r="M14" s="63" t="str">
        <f t="shared" si="1"/>
        <v>OK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50.1" customHeight="1" x14ac:dyDescent="0.25">
      <c r="A15" s="55">
        <v>3</v>
      </c>
      <c r="B15" s="56" t="s">
        <v>82</v>
      </c>
      <c r="C15" s="33">
        <v>12</v>
      </c>
      <c r="D15" s="49" t="s">
        <v>97</v>
      </c>
      <c r="E15" s="32" t="s">
        <v>51</v>
      </c>
      <c r="F15" s="37" t="s">
        <v>52</v>
      </c>
      <c r="G15" s="37" t="s">
        <v>25</v>
      </c>
      <c r="H15" s="37" t="s">
        <v>14</v>
      </c>
      <c r="I15" s="37" t="s">
        <v>15</v>
      </c>
      <c r="J15" s="50">
        <v>50.15</v>
      </c>
      <c r="K15" s="64">
        <f>0</f>
        <v>0</v>
      </c>
      <c r="L15" s="62">
        <f t="shared" si="0"/>
        <v>0</v>
      </c>
      <c r="M15" s="63" t="str">
        <f t="shared" si="1"/>
        <v>OK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65.25" customHeight="1" x14ac:dyDescent="0.25">
      <c r="A16" s="89">
        <v>4</v>
      </c>
      <c r="B16" s="90" t="s">
        <v>83</v>
      </c>
      <c r="C16" s="42">
        <v>13</v>
      </c>
      <c r="D16" s="18" t="s">
        <v>98</v>
      </c>
      <c r="E16" s="20" t="s">
        <v>53</v>
      </c>
      <c r="F16" s="48" t="s">
        <v>54</v>
      </c>
      <c r="G16" s="43" t="s">
        <v>26</v>
      </c>
      <c r="H16" s="43" t="s">
        <v>14</v>
      </c>
      <c r="I16" s="43" t="s">
        <v>15</v>
      </c>
      <c r="J16" s="47">
        <v>90</v>
      </c>
      <c r="K16" s="64">
        <f>0</f>
        <v>0</v>
      </c>
      <c r="L16" s="62">
        <f t="shared" si="0"/>
        <v>0</v>
      </c>
      <c r="M16" s="63" t="str">
        <f t="shared" si="1"/>
        <v>OK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50.1" customHeight="1" x14ac:dyDescent="0.25">
      <c r="A17" s="89"/>
      <c r="B17" s="91"/>
      <c r="C17" s="42">
        <v>14</v>
      </c>
      <c r="D17" s="18" t="s">
        <v>99</v>
      </c>
      <c r="E17" s="20" t="s">
        <v>55</v>
      </c>
      <c r="F17" s="48" t="s">
        <v>54</v>
      </c>
      <c r="G17" s="43" t="s">
        <v>26</v>
      </c>
      <c r="H17" s="43" t="s">
        <v>14</v>
      </c>
      <c r="I17" s="43" t="s">
        <v>15</v>
      </c>
      <c r="J17" s="47">
        <v>60</v>
      </c>
      <c r="K17" s="64">
        <f>0</f>
        <v>0</v>
      </c>
      <c r="L17" s="62">
        <f t="shared" si="0"/>
        <v>0</v>
      </c>
      <c r="M17" s="63" t="str">
        <f t="shared" si="1"/>
        <v>OK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4.25" customHeight="1" x14ac:dyDescent="0.25">
      <c r="A18" s="89"/>
      <c r="B18" s="91"/>
      <c r="C18" s="42">
        <v>15</v>
      </c>
      <c r="D18" s="18" t="s">
        <v>100</v>
      </c>
      <c r="E18" s="20" t="s">
        <v>56</v>
      </c>
      <c r="F18" s="48" t="s">
        <v>54</v>
      </c>
      <c r="G18" s="43" t="s">
        <v>26</v>
      </c>
      <c r="H18" s="43" t="s">
        <v>14</v>
      </c>
      <c r="I18" s="43" t="s">
        <v>15</v>
      </c>
      <c r="J18" s="47">
        <v>236</v>
      </c>
      <c r="K18" s="64">
        <f>0</f>
        <v>0</v>
      </c>
      <c r="L18" s="62">
        <f t="shared" si="0"/>
        <v>0</v>
      </c>
      <c r="M18" s="63" t="str">
        <f t="shared" si="1"/>
        <v>OK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50.1" customHeight="1" x14ac:dyDescent="0.25">
      <c r="A19" s="89"/>
      <c r="B19" s="92"/>
      <c r="C19" s="42">
        <v>16</v>
      </c>
      <c r="D19" s="18" t="s">
        <v>101</v>
      </c>
      <c r="E19" s="20" t="s">
        <v>57</v>
      </c>
      <c r="F19" s="48" t="s">
        <v>54</v>
      </c>
      <c r="G19" s="43" t="s">
        <v>26</v>
      </c>
      <c r="H19" s="43" t="s">
        <v>14</v>
      </c>
      <c r="I19" s="43" t="s">
        <v>15</v>
      </c>
      <c r="J19" s="44">
        <v>238.94</v>
      </c>
      <c r="K19" s="64">
        <f>0</f>
        <v>0</v>
      </c>
      <c r="L19" s="62">
        <f t="shared" si="0"/>
        <v>0</v>
      </c>
      <c r="M19" s="63" t="str">
        <f t="shared" si="1"/>
        <v>OK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50.1" customHeight="1" x14ac:dyDescent="0.25">
      <c r="A20" s="55">
        <v>5</v>
      </c>
      <c r="B20" s="56" t="s">
        <v>84</v>
      </c>
      <c r="C20" s="51">
        <v>17</v>
      </c>
      <c r="D20" s="27" t="s">
        <v>58</v>
      </c>
      <c r="E20" s="28" t="s">
        <v>59</v>
      </c>
      <c r="F20" s="52" t="s">
        <v>54</v>
      </c>
      <c r="G20" s="37" t="s">
        <v>60</v>
      </c>
      <c r="H20" s="37" t="s">
        <v>14</v>
      </c>
      <c r="I20" s="37" t="s">
        <v>15</v>
      </c>
      <c r="J20" s="50">
        <v>79</v>
      </c>
      <c r="K20" s="64">
        <f>0</f>
        <v>0</v>
      </c>
      <c r="L20" s="62">
        <f t="shared" si="0"/>
        <v>0</v>
      </c>
      <c r="M20" s="63" t="str">
        <f t="shared" si="1"/>
        <v>OK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50.1" customHeight="1" x14ac:dyDescent="0.25">
      <c r="A21" s="57">
        <v>6</v>
      </c>
      <c r="B21" s="58" t="s">
        <v>85</v>
      </c>
      <c r="C21" s="42">
        <v>18</v>
      </c>
      <c r="D21" s="18" t="s">
        <v>61</v>
      </c>
      <c r="E21" s="20" t="s">
        <v>62</v>
      </c>
      <c r="F21" s="48" t="s">
        <v>54</v>
      </c>
      <c r="G21" s="43" t="s">
        <v>63</v>
      </c>
      <c r="H21" s="43" t="s">
        <v>14</v>
      </c>
      <c r="I21" s="43" t="s">
        <v>15</v>
      </c>
      <c r="J21" s="44">
        <v>128.33000000000001</v>
      </c>
      <c r="K21" s="64">
        <f>0</f>
        <v>0</v>
      </c>
      <c r="L21" s="62">
        <f t="shared" si="0"/>
        <v>0</v>
      </c>
      <c r="M21" s="63" t="str">
        <f t="shared" si="1"/>
        <v>OK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50.1" customHeight="1" x14ac:dyDescent="0.25">
      <c r="A22" s="55">
        <v>8</v>
      </c>
      <c r="B22" s="56" t="s">
        <v>86</v>
      </c>
      <c r="C22" s="51">
        <v>20</v>
      </c>
      <c r="D22" s="29" t="s">
        <v>64</v>
      </c>
      <c r="E22" s="28" t="s">
        <v>65</v>
      </c>
      <c r="F22" s="28" t="s">
        <v>54</v>
      </c>
      <c r="G22" s="28" t="s">
        <v>66</v>
      </c>
      <c r="H22" s="28" t="s">
        <v>14</v>
      </c>
      <c r="I22" s="28" t="s">
        <v>15</v>
      </c>
      <c r="J22" s="50">
        <v>39.99</v>
      </c>
      <c r="K22" s="64">
        <f>0</f>
        <v>0</v>
      </c>
      <c r="L22" s="62">
        <f t="shared" si="0"/>
        <v>0</v>
      </c>
      <c r="M22" s="63" t="str">
        <f t="shared" si="1"/>
        <v>OK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50.1" customHeight="1" x14ac:dyDescent="0.25">
      <c r="A23" s="57">
        <v>9</v>
      </c>
      <c r="B23" s="58" t="s">
        <v>86</v>
      </c>
      <c r="C23" s="42">
        <v>21</v>
      </c>
      <c r="D23" s="30" t="s">
        <v>67</v>
      </c>
      <c r="E23" s="31" t="s">
        <v>68</v>
      </c>
      <c r="F23" s="31" t="s">
        <v>54</v>
      </c>
      <c r="G23" s="31" t="s">
        <v>66</v>
      </c>
      <c r="H23" s="31" t="s">
        <v>14</v>
      </c>
      <c r="I23" s="31" t="s">
        <v>15</v>
      </c>
      <c r="J23" s="44">
        <v>39.99</v>
      </c>
      <c r="K23" s="64">
        <f>0</f>
        <v>0</v>
      </c>
      <c r="L23" s="62">
        <f t="shared" si="0"/>
        <v>0</v>
      </c>
      <c r="M23" s="63" t="str">
        <f t="shared" si="1"/>
        <v>OK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50.1" customHeight="1" x14ac:dyDescent="0.25">
      <c r="A24" s="55">
        <v>10</v>
      </c>
      <c r="B24" s="56" t="s">
        <v>86</v>
      </c>
      <c r="C24" s="51">
        <v>22</v>
      </c>
      <c r="D24" s="29" t="s">
        <v>69</v>
      </c>
      <c r="E24" s="28" t="s">
        <v>70</v>
      </c>
      <c r="F24" s="28" t="s">
        <v>54</v>
      </c>
      <c r="G24" s="28" t="s">
        <v>71</v>
      </c>
      <c r="H24" s="28" t="s">
        <v>14</v>
      </c>
      <c r="I24" s="28" t="s">
        <v>15</v>
      </c>
      <c r="J24" s="50">
        <v>119.55</v>
      </c>
      <c r="K24" s="64">
        <f>0</f>
        <v>0</v>
      </c>
      <c r="L24" s="62">
        <f t="shared" si="0"/>
        <v>0</v>
      </c>
      <c r="M24" s="63" t="str">
        <f t="shared" si="1"/>
        <v>OK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50.1" customHeight="1" x14ac:dyDescent="0.25">
      <c r="A25" s="57">
        <v>11</v>
      </c>
      <c r="B25" s="58" t="s">
        <v>87</v>
      </c>
      <c r="C25" s="42">
        <v>23</v>
      </c>
      <c r="D25" s="18" t="s">
        <v>35</v>
      </c>
      <c r="E25" s="20" t="s">
        <v>72</v>
      </c>
      <c r="F25" s="48" t="s">
        <v>73</v>
      </c>
      <c r="G25" s="20" t="s">
        <v>74</v>
      </c>
      <c r="H25" s="31" t="s">
        <v>24</v>
      </c>
      <c r="I25" s="31" t="s">
        <v>75</v>
      </c>
      <c r="J25" s="44">
        <v>37.03</v>
      </c>
      <c r="K25" s="64">
        <f>0</f>
        <v>0</v>
      </c>
      <c r="L25" s="62">
        <f t="shared" si="0"/>
        <v>0</v>
      </c>
      <c r="M25" s="63" t="str">
        <f t="shared" si="1"/>
        <v>OK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05" x14ac:dyDescent="0.25">
      <c r="A26" s="55">
        <v>12</v>
      </c>
      <c r="B26" s="59" t="s">
        <v>87</v>
      </c>
      <c r="C26" s="54">
        <v>24</v>
      </c>
      <c r="D26" s="49" t="s">
        <v>76</v>
      </c>
      <c r="E26" s="32" t="s">
        <v>77</v>
      </c>
      <c r="F26" s="52" t="s">
        <v>78</v>
      </c>
      <c r="G26" s="32" t="s">
        <v>79</v>
      </c>
      <c r="H26" s="32" t="s">
        <v>24</v>
      </c>
      <c r="I26" s="32" t="s">
        <v>75</v>
      </c>
      <c r="J26" s="53">
        <v>599.78</v>
      </c>
      <c r="K26" s="64">
        <f>0</f>
        <v>0</v>
      </c>
      <c r="L26" s="62">
        <f t="shared" si="0"/>
        <v>0</v>
      </c>
      <c r="M26" s="63" t="str">
        <f t="shared" si="1"/>
        <v>OK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.75" thickBot="1" x14ac:dyDescent="0.3">
      <c r="N27" s="21">
        <f>SUMPRODUCT($J$4:$J$26,N4:N26)</f>
        <v>0</v>
      </c>
      <c r="O27" s="21">
        <f t="shared" ref="O27:AE27" si="2">SUMPRODUCT($J$4:$J$26,O4:O26)</f>
        <v>0</v>
      </c>
      <c r="P27" s="21">
        <f t="shared" si="2"/>
        <v>0</v>
      </c>
      <c r="Q27" s="21">
        <f t="shared" si="2"/>
        <v>0</v>
      </c>
      <c r="R27" s="21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si="2"/>
        <v>0</v>
      </c>
      <c r="X27" s="21">
        <f t="shared" si="2"/>
        <v>0</v>
      </c>
      <c r="Y27" s="21">
        <f t="shared" si="2"/>
        <v>0</v>
      </c>
      <c r="Z27" s="21">
        <f t="shared" si="2"/>
        <v>0</v>
      </c>
      <c r="AA27" s="21">
        <f t="shared" si="2"/>
        <v>0</v>
      </c>
      <c r="AB27" s="21">
        <f t="shared" si="2"/>
        <v>0</v>
      </c>
      <c r="AC27" s="21">
        <f t="shared" si="2"/>
        <v>0</v>
      </c>
      <c r="AD27" s="21">
        <f t="shared" si="2"/>
        <v>0</v>
      </c>
      <c r="AE27" s="21">
        <f t="shared" si="2"/>
        <v>0</v>
      </c>
    </row>
    <row r="28" spans="1:31" x14ac:dyDescent="0.25">
      <c r="D28" s="24" t="s">
        <v>43</v>
      </c>
    </row>
    <row r="29" spans="1:31" x14ac:dyDescent="0.25">
      <c r="D29" s="60" t="s">
        <v>44</v>
      </c>
    </row>
    <row r="30" spans="1:31" x14ac:dyDescent="0.25">
      <c r="D30" s="25" t="s">
        <v>106</v>
      </c>
    </row>
    <row r="31" spans="1:31" ht="15.75" thickBot="1" x14ac:dyDescent="0.3">
      <c r="D31" s="26" t="s">
        <v>105</v>
      </c>
    </row>
  </sheetData>
  <mergeCells count="28">
    <mergeCell ref="A9:A14"/>
    <mergeCell ref="B9:B14"/>
    <mergeCell ref="A16:A19"/>
    <mergeCell ref="B16:B19"/>
    <mergeCell ref="AC1:AC2"/>
    <mergeCell ref="V1:V2"/>
    <mergeCell ref="A1:C1"/>
    <mergeCell ref="D1:J1"/>
    <mergeCell ref="K1:M1"/>
    <mergeCell ref="N1:N2"/>
    <mergeCell ref="O1:O2"/>
    <mergeCell ref="P1:P2"/>
    <mergeCell ref="AD1:AD2"/>
    <mergeCell ref="AE1:AE2"/>
    <mergeCell ref="A2:M2"/>
    <mergeCell ref="A4:A8"/>
    <mergeCell ref="B4:B8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</mergeCells>
  <conditionalFormatting sqref="N4:AE26">
    <cfRule type="cellIs" dxfId="35" priority="1" operator="greaterThan">
      <formula>0</formula>
    </cfRule>
    <cfRule type="cellIs" dxfId="34" priority="2" stopIfTrue="1" operator="greaterThan">
      <formula>0</formula>
    </cfRule>
    <cfRule type="cellIs" dxfId="33" priority="3" stopIfTrue="1" operator="greaterThan">
      <formula>0</formula>
    </cfRule>
    <cfRule type="cellIs" dxfId="32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1"/>
  <sheetViews>
    <sheetView tabSelected="1" zoomScale="80" zoomScaleNormal="80" workbookViewId="0">
      <selection activeCell="N4" sqref="N4"/>
    </sheetView>
  </sheetViews>
  <sheetFormatPr defaultColWidth="9.7109375" defaultRowHeight="15" x14ac:dyDescent="0.25"/>
  <cols>
    <col min="1" max="1" width="7.140625" style="1" customWidth="1"/>
    <col min="2" max="2" width="23.42578125" style="1" customWidth="1"/>
    <col min="3" max="3" width="6" style="12" bestFit="1" customWidth="1"/>
    <col min="4" max="4" width="48.42578125" style="1" customWidth="1"/>
    <col min="5" max="5" width="19" style="1" customWidth="1"/>
    <col min="6" max="6" width="9.28515625" style="1" customWidth="1"/>
    <col min="7" max="7" width="12" style="1" bestFit="1" customWidth="1"/>
    <col min="8" max="8" width="8.85546875" style="1" customWidth="1"/>
    <col min="9" max="9" width="10.140625" style="1" bestFit="1" customWidth="1"/>
    <col min="10" max="10" width="13.42578125" style="16" bestFit="1" customWidth="1"/>
    <col min="11" max="11" width="11.5703125" style="4" customWidth="1"/>
    <col min="12" max="12" width="14.28515625" style="13" customWidth="1"/>
    <col min="13" max="13" width="10.85546875" style="5" customWidth="1"/>
    <col min="14" max="14" width="15.42578125" style="4" customWidth="1"/>
    <col min="15" max="15" width="12.7109375" style="4" customWidth="1"/>
    <col min="16" max="16" width="14.85546875" style="4" customWidth="1"/>
    <col min="17" max="17" width="14.140625" style="4" customWidth="1"/>
    <col min="18" max="18" width="15.28515625" style="4" customWidth="1"/>
    <col min="19" max="19" width="15.42578125" style="4" customWidth="1"/>
    <col min="20" max="20" width="17.85546875" style="4" customWidth="1"/>
    <col min="21" max="21" width="14" style="4" customWidth="1"/>
    <col min="22" max="22" width="13.5703125" style="4" customWidth="1"/>
    <col min="23" max="23" width="14.5703125" style="4" customWidth="1"/>
    <col min="24" max="24" width="14" style="4" customWidth="1"/>
    <col min="25" max="25" width="14.28515625" style="4" customWidth="1"/>
    <col min="26" max="31" width="12.7109375" style="2" customWidth="1"/>
    <col min="32" max="16384" width="9.7109375" style="2"/>
  </cols>
  <sheetData>
    <row r="1" spans="1:31" ht="31.7" customHeight="1" x14ac:dyDescent="0.25">
      <c r="A1" s="88" t="s">
        <v>37</v>
      </c>
      <c r="B1" s="88"/>
      <c r="C1" s="88"/>
      <c r="D1" s="88" t="s">
        <v>36</v>
      </c>
      <c r="E1" s="88"/>
      <c r="F1" s="88"/>
      <c r="G1" s="88"/>
      <c r="H1" s="88"/>
      <c r="I1" s="88"/>
      <c r="J1" s="88"/>
      <c r="K1" s="88" t="s">
        <v>38</v>
      </c>
      <c r="L1" s="88"/>
      <c r="M1" s="88"/>
      <c r="N1" s="87" t="s">
        <v>117</v>
      </c>
      <c r="O1" s="87" t="s">
        <v>39</v>
      </c>
      <c r="P1" s="87" t="s">
        <v>39</v>
      </c>
      <c r="Q1" s="87" t="s">
        <v>39</v>
      </c>
      <c r="R1" s="87" t="s">
        <v>39</v>
      </c>
      <c r="S1" s="87" t="s">
        <v>39</v>
      </c>
      <c r="T1" s="87" t="s">
        <v>39</v>
      </c>
      <c r="U1" s="87" t="s">
        <v>39</v>
      </c>
      <c r="V1" s="87" t="s">
        <v>39</v>
      </c>
      <c r="W1" s="87" t="s">
        <v>39</v>
      </c>
      <c r="X1" s="87" t="s">
        <v>39</v>
      </c>
      <c r="Y1" s="87" t="s">
        <v>39</v>
      </c>
      <c r="Z1" s="87" t="s">
        <v>39</v>
      </c>
      <c r="AA1" s="87" t="s">
        <v>39</v>
      </c>
      <c r="AB1" s="87" t="s">
        <v>39</v>
      </c>
      <c r="AC1" s="87" t="s">
        <v>39</v>
      </c>
      <c r="AD1" s="87" t="s">
        <v>39</v>
      </c>
      <c r="AE1" s="87" t="s">
        <v>39</v>
      </c>
    </row>
    <row r="2" spans="1:31" ht="24" customHeight="1" x14ac:dyDescent="0.25">
      <c r="A2" s="88" t="s">
        <v>104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3" customFormat="1" ht="45" x14ac:dyDescent="0.2">
      <c r="A3" s="23" t="s">
        <v>40</v>
      </c>
      <c r="B3" s="23" t="s">
        <v>27</v>
      </c>
      <c r="C3" s="23" t="s">
        <v>3</v>
      </c>
      <c r="D3" s="23" t="s">
        <v>28</v>
      </c>
      <c r="E3" s="23" t="s">
        <v>29</v>
      </c>
      <c r="F3" s="23" t="s">
        <v>42</v>
      </c>
      <c r="G3" s="23" t="s">
        <v>30</v>
      </c>
      <c r="H3" s="23" t="s">
        <v>4</v>
      </c>
      <c r="I3" s="23" t="s">
        <v>31</v>
      </c>
      <c r="J3" s="23" t="s">
        <v>41</v>
      </c>
      <c r="K3" s="10" t="s">
        <v>6</v>
      </c>
      <c r="L3" s="11" t="s">
        <v>0</v>
      </c>
      <c r="M3" s="9" t="s">
        <v>2</v>
      </c>
      <c r="N3" s="106">
        <v>45476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9" t="s">
        <v>1</v>
      </c>
      <c r="AD3" s="9" t="s">
        <v>1</v>
      </c>
      <c r="AE3" s="9" t="s">
        <v>1</v>
      </c>
    </row>
    <row r="4" spans="1:31" ht="50.1" customHeight="1" x14ac:dyDescent="0.25">
      <c r="A4" s="93">
        <v>1</v>
      </c>
      <c r="B4" s="94" t="s">
        <v>80</v>
      </c>
      <c r="C4" s="33">
        <v>1</v>
      </c>
      <c r="D4" s="34" t="s">
        <v>88</v>
      </c>
      <c r="E4" s="35" t="s">
        <v>45</v>
      </c>
      <c r="F4" s="36" t="s">
        <v>46</v>
      </c>
      <c r="G4" s="37" t="s">
        <v>17</v>
      </c>
      <c r="H4" s="36" t="s">
        <v>14</v>
      </c>
      <c r="I4" s="36" t="s">
        <v>15</v>
      </c>
      <c r="J4" s="38">
        <v>100</v>
      </c>
      <c r="K4" s="64">
        <f>0</f>
        <v>0</v>
      </c>
      <c r="L4" s="62">
        <f>K4-(SUM(N4:AE4))</f>
        <v>0</v>
      </c>
      <c r="M4" s="63" t="str">
        <f>IF(L4&lt;0,"ATENÇÃO","OK")</f>
        <v>OK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7" customHeight="1" x14ac:dyDescent="0.25">
      <c r="A5" s="93"/>
      <c r="B5" s="95"/>
      <c r="C5" s="33">
        <v>2</v>
      </c>
      <c r="D5" s="39" t="s">
        <v>89</v>
      </c>
      <c r="E5" s="40" t="s">
        <v>47</v>
      </c>
      <c r="F5" s="41" t="s">
        <v>46</v>
      </c>
      <c r="G5" s="37" t="s">
        <v>18</v>
      </c>
      <c r="H5" s="41" t="s">
        <v>14</v>
      </c>
      <c r="I5" s="36" t="s">
        <v>15</v>
      </c>
      <c r="J5" s="38">
        <v>70.44</v>
      </c>
      <c r="K5" s="64">
        <f>0</f>
        <v>0</v>
      </c>
      <c r="L5" s="62">
        <f t="shared" ref="L5:L26" si="0">K5-(SUM(N5:AE5))</f>
        <v>0</v>
      </c>
      <c r="M5" s="63" t="str">
        <f t="shared" ref="M5:M26" si="1">IF(L5&lt;0,"ATENÇÃO","OK")</f>
        <v>OK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50.1" customHeight="1" x14ac:dyDescent="0.25">
      <c r="A6" s="93"/>
      <c r="B6" s="95"/>
      <c r="C6" s="33">
        <v>3</v>
      </c>
      <c r="D6" s="34" t="s">
        <v>90</v>
      </c>
      <c r="E6" s="40" t="s">
        <v>47</v>
      </c>
      <c r="F6" s="36" t="s">
        <v>46</v>
      </c>
      <c r="G6" s="37" t="s">
        <v>20</v>
      </c>
      <c r="H6" s="36" t="s">
        <v>14</v>
      </c>
      <c r="I6" s="36" t="s">
        <v>15</v>
      </c>
      <c r="J6" s="38">
        <v>70.819999999999993</v>
      </c>
      <c r="K6" s="64">
        <f>0</f>
        <v>0</v>
      </c>
      <c r="L6" s="62">
        <f t="shared" si="0"/>
        <v>0</v>
      </c>
      <c r="M6" s="63" t="str">
        <f t="shared" si="1"/>
        <v>OK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50.1" customHeight="1" x14ac:dyDescent="0.25">
      <c r="A7" s="93"/>
      <c r="B7" s="95"/>
      <c r="C7" s="33">
        <v>4</v>
      </c>
      <c r="D7" s="34" t="s">
        <v>91</v>
      </c>
      <c r="E7" s="40" t="s">
        <v>47</v>
      </c>
      <c r="F7" s="36" t="s">
        <v>46</v>
      </c>
      <c r="G7" s="37" t="s">
        <v>21</v>
      </c>
      <c r="H7" s="36" t="s">
        <v>14</v>
      </c>
      <c r="I7" s="36" t="s">
        <v>15</v>
      </c>
      <c r="J7" s="38">
        <v>135.66999999999999</v>
      </c>
      <c r="K7" s="64">
        <f>0</f>
        <v>0</v>
      </c>
      <c r="L7" s="62">
        <f t="shared" si="0"/>
        <v>0</v>
      </c>
      <c r="M7" s="63" t="str">
        <f t="shared" si="1"/>
        <v>OK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50.1" customHeight="1" x14ac:dyDescent="0.25">
      <c r="A8" s="93"/>
      <c r="B8" s="96"/>
      <c r="C8" s="33">
        <v>5</v>
      </c>
      <c r="D8" s="34" t="s">
        <v>92</v>
      </c>
      <c r="E8" s="40" t="s">
        <v>47</v>
      </c>
      <c r="F8" s="36" t="s">
        <v>46</v>
      </c>
      <c r="G8" s="37" t="s">
        <v>22</v>
      </c>
      <c r="H8" s="36" t="s">
        <v>14</v>
      </c>
      <c r="I8" s="36" t="s">
        <v>15</v>
      </c>
      <c r="J8" s="38">
        <v>111.99</v>
      </c>
      <c r="K8" s="64">
        <f>0</f>
        <v>0</v>
      </c>
      <c r="L8" s="62">
        <f t="shared" si="0"/>
        <v>0</v>
      </c>
      <c r="M8" s="63" t="str">
        <f t="shared" si="1"/>
        <v>OK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50.1" customHeight="1" x14ac:dyDescent="0.25">
      <c r="A9" s="89">
        <v>2</v>
      </c>
      <c r="B9" s="90" t="s">
        <v>81</v>
      </c>
      <c r="C9" s="42">
        <v>6</v>
      </c>
      <c r="D9" s="18" t="s">
        <v>93</v>
      </c>
      <c r="E9" s="20" t="s">
        <v>48</v>
      </c>
      <c r="F9" s="43" t="s">
        <v>49</v>
      </c>
      <c r="G9" s="43" t="s">
        <v>19</v>
      </c>
      <c r="H9" s="43" t="s">
        <v>14</v>
      </c>
      <c r="I9" s="43" t="s">
        <v>15</v>
      </c>
      <c r="J9" s="44">
        <v>130</v>
      </c>
      <c r="K9" s="64">
        <f>50</f>
        <v>50</v>
      </c>
      <c r="L9" s="62">
        <f t="shared" si="0"/>
        <v>50</v>
      </c>
      <c r="M9" s="63" t="str">
        <f t="shared" si="1"/>
        <v>OK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50.1" customHeight="1" x14ac:dyDescent="0.25">
      <c r="A10" s="89"/>
      <c r="B10" s="91"/>
      <c r="C10" s="42">
        <v>7</v>
      </c>
      <c r="D10" s="18" t="s">
        <v>94</v>
      </c>
      <c r="E10" s="20" t="s">
        <v>48</v>
      </c>
      <c r="F10" s="43" t="s">
        <v>49</v>
      </c>
      <c r="G10" s="43" t="s">
        <v>19</v>
      </c>
      <c r="H10" s="43" t="s">
        <v>14</v>
      </c>
      <c r="I10" s="43" t="s">
        <v>15</v>
      </c>
      <c r="J10" s="44">
        <v>158</v>
      </c>
      <c r="K10" s="64">
        <f>50</f>
        <v>50</v>
      </c>
      <c r="L10" s="62">
        <f t="shared" si="0"/>
        <v>50</v>
      </c>
      <c r="M10" s="63" t="str">
        <f t="shared" si="1"/>
        <v>OK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50.1" customHeight="1" x14ac:dyDescent="0.25">
      <c r="A11" s="89"/>
      <c r="B11" s="91"/>
      <c r="C11" s="42">
        <v>8</v>
      </c>
      <c r="D11" s="45" t="s">
        <v>95</v>
      </c>
      <c r="E11" s="20" t="s">
        <v>48</v>
      </c>
      <c r="F11" s="43" t="s">
        <v>49</v>
      </c>
      <c r="G11" s="43" t="s">
        <v>23</v>
      </c>
      <c r="H11" s="43" t="s">
        <v>24</v>
      </c>
      <c r="I11" s="46" t="s">
        <v>15</v>
      </c>
      <c r="J11" s="44">
        <v>380</v>
      </c>
      <c r="K11" s="64">
        <f>10</f>
        <v>10</v>
      </c>
      <c r="L11" s="62">
        <f t="shared" si="0"/>
        <v>10</v>
      </c>
      <c r="M11" s="63" t="str">
        <f t="shared" si="1"/>
        <v>OK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50.1" customHeight="1" x14ac:dyDescent="0.25">
      <c r="A12" s="89"/>
      <c r="B12" s="91"/>
      <c r="C12" s="42">
        <v>9</v>
      </c>
      <c r="D12" s="45" t="s">
        <v>96</v>
      </c>
      <c r="E12" s="20" t="s">
        <v>48</v>
      </c>
      <c r="F12" s="43" t="s">
        <v>49</v>
      </c>
      <c r="G12" s="43" t="s">
        <v>23</v>
      </c>
      <c r="H12" s="43" t="s">
        <v>24</v>
      </c>
      <c r="I12" s="46" t="s">
        <v>15</v>
      </c>
      <c r="J12" s="47">
        <v>293.85000000000002</v>
      </c>
      <c r="K12" s="64">
        <f>10</f>
        <v>10</v>
      </c>
      <c r="L12" s="62">
        <f t="shared" si="0"/>
        <v>10</v>
      </c>
      <c r="M12" s="63" t="str">
        <f t="shared" si="1"/>
        <v>OK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34.5" customHeight="1" x14ac:dyDescent="0.25">
      <c r="A13" s="89"/>
      <c r="B13" s="91"/>
      <c r="C13" s="42">
        <v>10</v>
      </c>
      <c r="D13" s="18" t="s">
        <v>33</v>
      </c>
      <c r="E13" s="20" t="s">
        <v>48</v>
      </c>
      <c r="F13" s="48" t="s">
        <v>50</v>
      </c>
      <c r="G13" s="43" t="s">
        <v>32</v>
      </c>
      <c r="H13" s="43" t="s">
        <v>14</v>
      </c>
      <c r="I13" s="43" t="s">
        <v>16</v>
      </c>
      <c r="J13" s="47">
        <v>24</v>
      </c>
      <c r="K13" s="64">
        <f>30</f>
        <v>30</v>
      </c>
      <c r="L13" s="62">
        <f t="shared" si="0"/>
        <v>30</v>
      </c>
      <c r="M13" s="63" t="str">
        <f t="shared" si="1"/>
        <v>OK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39.75" customHeight="1" x14ac:dyDescent="0.25">
      <c r="A14" s="89"/>
      <c r="B14" s="92"/>
      <c r="C14" s="42">
        <v>11</v>
      </c>
      <c r="D14" s="18" t="s">
        <v>34</v>
      </c>
      <c r="E14" s="20" t="s">
        <v>48</v>
      </c>
      <c r="F14" s="48" t="s">
        <v>50</v>
      </c>
      <c r="G14" s="43" t="s">
        <v>32</v>
      </c>
      <c r="H14" s="43" t="s">
        <v>14</v>
      </c>
      <c r="I14" s="43" t="s">
        <v>16</v>
      </c>
      <c r="J14" s="47">
        <v>25</v>
      </c>
      <c r="K14" s="64">
        <f>50</f>
        <v>50</v>
      </c>
      <c r="L14" s="62">
        <f t="shared" si="0"/>
        <v>50</v>
      </c>
      <c r="M14" s="63" t="str">
        <f t="shared" si="1"/>
        <v>OK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50.1" customHeight="1" x14ac:dyDescent="0.25">
      <c r="A15" s="55">
        <v>3</v>
      </c>
      <c r="B15" s="56" t="s">
        <v>82</v>
      </c>
      <c r="C15" s="33">
        <v>12</v>
      </c>
      <c r="D15" s="49" t="s">
        <v>97</v>
      </c>
      <c r="E15" s="32" t="s">
        <v>51</v>
      </c>
      <c r="F15" s="37" t="s">
        <v>52</v>
      </c>
      <c r="G15" s="37" t="s">
        <v>25</v>
      </c>
      <c r="H15" s="37" t="s">
        <v>14</v>
      </c>
      <c r="I15" s="37" t="s">
        <v>15</v>
      </c>
      <c r="J15" s="50">
        <v>50.15</v>
      </c>
      <c r="K15" s="64">
        <f>70</f>
        <v>70</v>
      </c>
      <c r="L15" s="62">
        <f t="shared" si="0"/>
        <v>70</v>
      </c>
      <c r="M15" s="63" t="str">
        <f t="shared" si="1"/>
        <v>OK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65.25" customHeight="1" x14ac:dyDescent="0.25">
      <c r="A16" s="89">
        <v>4</v>
      </c>
      <c r="B16" s="90" t="s">
        <v>83</v>
      </c>
      <c r="C16" s="42">
        <v>13</v>
      </c>
      <c r="D16" s="18" t="s">
        <v>98</v>
      </c>
      <c r="E16" s="20" t="s">
        <v>53</v>
      </c>
      <c r="F16" s="48" t="s">
        <v>54</v>
      </c>
      <c r="G16" s="43" t="s">
        <v>26</v>
      </c>
      <c r="H16" s="43" t="s">
        <v>14</v>
      </c>
      <c r="I16" s="43" t="s">
        <v>15</v>
      </c>
      <c r="J16" s="47">
        <v>90</v>
      </c>
      <c r="K16" s="64">
        <f>150</f>
        <v>150</v>
      </c>
      <c r="L16" s="105">
        <f t="shared" si="0"/>
        <v>146.565</v>
      </c>
      <c r="M16" s="63" t="str">
        <f t="shared" si="1"/>
        <v>OK</v>
      </c>
      <c r="N16" s="104">
        <v>3.4350000000000001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50.1" customHeight="1" x14ac:dyDescent="0.25">
      <c r="A17" s="89"/>
      <c r="B17" s="91"/>
      <c r="C17" s="42">
        <v>14</v>
      </c>
      <c r="D17" s="18" t="s">
        <v>99</v>
      </c>
      <c r="E17" s="20" t="s">
        <v>55</v>
      </c>
      <c r="F17" s="48" t="s">
        <v>54</v>
      </c>
      <c r="G17" s="43" t="s">
        <v>26</v>
      </c>
      <c r="H17" s="43" t="s">
        <v>14</v>
      </c>
      <c r="I17" s="43" t="s">
        <v>15</v>
      </c>
      <c r="J17" s="47">
        <v>60</v>
      </c>
      <c r="K17" s="64">
        <f>150</f>
        <v>150</v>
      </c>
      <c r="L17" s="62">
        <f t="shared" si="0"/>
        <v>150</v>
      </c>
      <c r="M17" s="63" t="str">
        <f t="shared" si="1"/>
        <v>OK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4.25" customHeight="1" x14ac:dyDescent="0.25">
      <c r="A18" s="89"/>
      <c r="B18" s="91"/>
      <c r="C18" s="42">
        <v>15</v>
      </c>
      <c r="D18" s="18" t="s">
        <v>100</v>
      </c>
      <c r="E18" s="20" t="s">
        <v>56</v>
      </c>
      <c r="F18" s="48" t="s">
        <v>54</v>
      </c>
      <c r="G18" s="43" t="s">
        <v>26</v>
      </c>
      <c r="H18" s="43" t="s">
        <v>14</v>
      </c>
      <c r="I18" s="43" t="s">
        <v>15</v>
      </c>
      <c r="J18" s="47">
        <v>236</v>
      </c>
      <c r="K18" s="64">
        <f>0</f>
        <v>0</v>
      </c>
      <c r="L18" s="62">
        <f t="shared" si="0"/>
        <v>0</v>
      </c>
      <c r="M18" s="63" t="str">
        <f t="shared" si="1"/>
        <v>OK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50.1" customHeight="1" x14ac:dyDescent="0.25">
      <c r="A19" s="89"/>
      <c r="B19" s="92"/>
      <c r="C19" s="42">
        <v>16</v>
      </c>
      <c r="D19" s="18" t="s">
        <v>101</v>
      </c>
      <c r="E19" s="20" t="s">
        <v>57</v>
      </c>
      <c r="F19" s="48" t="s">
        <v>54</v>
      </c>
      <c r="G19" s="43" t="s">
        <v>26</v>
      </c>
      <c r="H19" s="43" t="s">
        <v>14</v>
      </c>
      <c r="I19" s="43" t="s">
        <v>15</v>
      </c>
      <c r="J19" s="44">
        <v>238.94</v>
      </c>
      <c r="K19" s="64">
        <f>0</f>
        <v>0</v>
      </c>
      <c r="L19" s="62">
        <f t="shared" si="0"/>
        <v>0</v>
      </c>
      <c r="M19" s="63" t="str">
        <f t="shared" si="1"/>
        <v>OK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50.1" customHeight="1" x14ac:dyDescent="0.25">
      <c r="A20" s="55">
        <v>5</v>
      </c>
      <c r="B20" s="56" t="s">
        <v>84</v>
      </c>
      <c r="C20" s="51">
        <v>17</v>
      </c>
      <c r="D20" s="27" t="s">
        <v>58</v>
      </c>
      <c r="E20" s="28" t="s">
        <v>59</v>
      </c>
      <c r="F20" s="52" t="s">
        <v>54</v>
      </c>
      <c r="G20" s="37" t="s">
        <v>60</v>
      </c>
      <c r="H20" s="37" t="s">
        <v>14</v>
      </c>
      <c r="I20" s="37" t="s">
        <v>15</v>
      </c>
      <c r="J20" s="50">
        <v>79</v>
      </c>
      <c r="K20" s="64">
        <f>0</f>
        <v>0</v>
      </c>
      <c r="L20" s="62">
        <f t="shared" si="0"/>
        <v>0</v>
      </c>
      <c r="M20" s="63" t="str">
        <f t="shared" si="1"/>
        <v>OK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50.1" customHeight="1" x14ac:dyDescent="0.25">
      <c r="A21" s="57">
        <v>6</v>
      </c>
      <c r="B21" s="58" t="s">
        <v>85</v>
      </c>
      <c r="C21" s="42">
        <v>18</v>
      </c>
      <c r="D21" s="18" t="s">
        <v>61</v>
      </c>
      <c r="E21" s="20" t="s">
        <v>62</v>
      </c>
      <c r="F21" s="48" t="s">
        <v>54</v>
      </c>
      <c r="G21" s="43" t="s">
        <v>63</v>
      </c>
      <c r="H21" s="43" t="s">
        <v>14</v>
      </c>
      <c r="I21" s="43" t="s">
        <v>15</v>
      </c>
      <c r="J21" s="44">
        <v>128.33000000000001</v>
      </c>
      <c r="K21" s="64">
        <f>0</f>
        <v>0</v>
      </c>
      <c r="L21" s="62">
        <f t="shared" si="0"/>
        <v>0</v>
      </c>
      <c r="M21" s="63" t="str">
        <f t="shared" si="1"/>
        <v>OK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50.1" customHeight="1" x14ac:dyDescent="0.25">
      <c r="A22" s="55">
        <v>8</v>
      </c>
      <c r="B22" s="56" t="s">
        <v>86</v>
      </c>
      <c r="C22" s="51">
        <v>20</v>
      </c>
      <c r="D22" s="29" t="s">
        <v>64</v>
      </c>
      <c r="E22" s="28" t="s">
        <v>65</v>
      </c>
      <c r="F22" s="28" t="s">
        <v>54</v>
      </c>
      <c r="G22" s="28" t="s">
        <v>66</v>
      </c>
      <c r="H22" s="28" t="s">
        <v>14</v>
      </c>
      <c r="I22" s="28" t="s">
        <v>15</v>
      </c>
      <c r="J22" s="50">
        <v>39.99</v>
      </c>
      <c r="K22" s="64">
        <f>0</f>
        <v>0</v>
      </c>
      <c r="L22" s="62">
        <f t="shared" si="0"/>
        <v>0</v>
      </c>
      <c r="M22" s="63" t="str">
        <f t="shared" si="1"/>
        <v>OK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50.1" customHeight="1" x14ac:dyDescent="0.25">
      <c r="A23" s="57">
        <v>9</v>
      </c>
      <c r="B23" s="58" t="s">
        <v>86</v>
      </c>
      <c r="C23" s="42">
        <v>21</v>
      </c>
      <c r="D23" s="30" t="s">
        <v>67</v>
      </c>
      <c r="E23" s="31" t="s">
        <v>68</v>
      </c>
      <c r="F23" s="31" t="s">
        <v>54</v>
      </c>
      <c r="G23" s="31" t="s">
        <v>66</v>
      </c>
      <c r="H23" s="31" t="s">
        <v>14</v>
      </c>
      <c r="I23" s="31" t="s">
        <v>15</v>
      </c>
      <c r="J23" s="44">
        <v>39.99</v>
      </c>
      <c r="K23" s="64">
        <f>0</f>
        <v>0</v>
      </c>
      <c r="L23" s="62">
        <f t="shared" si="0"/>
        <v>0</v>
      </c>
      <c r="M23" s="63" t="str">
        <f t="shared" si="1"/>
        <v>OK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50.1" customHeight="1" x14ac:dyDescent="0.25">
      <c r="A24" s="55">
        <v>10</v>
      </c>
      <c r="B24" s="56" t="s">
        <v>86</v>
      </c>
      <c r="C24" s="51">
        <v>22</v>
      </c>
      <c r="D24" s="29" t="s">
        <v>69</v>
      </c>
      <c r="E24" s="28" t="s">
        <v>70</v>
      </c>
      <c r="F24" s="28" t="s">
        <v>54</v>
      </c>
      <c r="G24" s="28" t="s">
        <v>71</v>
      </c>
      <c r="H24" s="28" t="s">
        <v>14</v>
      </c>
      <c r="I24" s="28" t="s">
        <v>15</v>
      </c>
      <c r="J24" s="50">
        <v>119.55</v>
      </c>
      <c r="K24" s="64">
        <f>0</f>
        <v>0</v>
      </c>
      <c r="L24" s="62">
        <f t="shared" si="0"/>
        <v>0</v>
      </c>
      <c r="M24" s="63" t="str">
        <f t="shared" si="1"/>
        <v>OK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50.1" customHeight="1" x14ac:dyDescent="0.25">
      <c r="A25" s="57">
        <v>11</v>
      </c>
      <c r="B25" s="58" t="s">
        <v>87</v>
      </c>
      <c r="C25" s="42">
        <v>23</v>
      </c>
      <c r="D25" s="18" t="s">
        <v>35</v>
      </c>
      <c r="E25" s="20" t="s">
        <v>72</v>
      </c>
      <c r="F25" s="48" t="s">
        <v>73</v>
      </c>
      <c r="G25" s="20" t="s">
        <v>74</v>
      </c>
      <c r="H25" s="31" t="s">
        <v>24</v>
      </c>
      <c r="I25" s="31" t="s">
        <v>75</v>
      </c>
      <c r="J25" s="44">
        <v>37.03</v>
      </c>
      <c r="K25" s="64">
        <f>0</f>
        <v>0</v>
      </c>
      <c r="L25" s="62">
        <f t="shared" si="0"/>
        <v>0</v>
      </c>
      <c r="M25" s="63" t="str">
        <f t="shared" si="1"/>
        <v>OK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05" x14ac:dyDescent="0.25">
      <c r="A26" s="55">
        <v>12</v>
      </c>
      <c r="B26" s="59" t="s">
        <v>87</v>
      </c>
      <c r="C26" s="54">
        <v>24</v>
      </c>
      <c r="D26" s="49" t="s">
        <v>76</v>
      </c>
      <c r="E26" s="32" t="s">
        <v>77</v>
      </c>
      <c r="F26" s="52" t="s">
        <v>78</v>
      </c>
      <c r="G26" s="32" t="s">
        <v>79</v>
      </c>
      <c r="H26" s="32" t="s">
        <v>24</v>
      </c>
      <c r="I26" s="32" t="s">
        <v>75</v>
      </c>
      <c r="J26" s="53">
        <v>599.78</v>
      </c>
      <c r="K26" s="64">
        <f>0</f>
        <v>0</v>
      </c>
      <c r="L26" s="62">
        <f t="shared" si="0"/>
        <v>0</v>
      </c>
      <c r="M26" s="63" t="str">
        <f t="shared" si="1"/>
        <v>OK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.75" thickBot="1" x14ac:dyDescent="0.3">
      <c r="N27" s="21">
        <f>SUMPRODUCT($J$4:$J$26,N4:N26)</f>
        <v>309.14999999999998</v>
      </c>
      <c r="O27" s="21">
        <f t="shared" ref="O27:AE27" si="2">SUMPRODUCT($J$4:$J$26,O4:O26)</f>
        <v>0</v>
      </c>
      <c r="P27" s="21">
        <f t="shared" si="2"/>
        <v>0</v>
      </c>
      <c r="Q27" s="21">
        <f t="shared" si="2"/>
        <v>0</v>
      </c>
      <c r="R27" s="21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si="2"/>
        <v>0</v>
      </c>
      <c r="X27" s="21">
        <f t="shared" si="2"/>
        <v>0</v>
      </c>
      <c r="Y27" s="21">
        <f t="shared" si="2"/>
        <v>0</v>
      </c>
      <c r="Z27" s="21">
        <f t="shared" si="2"/>
        <v>0</v>
      </c>
      <c r="AA27" s="21">
        <f t="shared" si="2"/>
        <v>0</v>
      </c>
      <c r="AB27" s="21">
        <f t="shared" si="2"/>
        <v>0</v>
      </c>
      <c r="AC27" s="21">
        <f t="shared" si="2"/>
        <v>0</v>
      </c>
      <c r="AD27" s="21">
        <f t="shared" si="2"/>
        <v>0</v>
      </c>
      <c r="AE27" s="21">
        <f t="shared" si="2"/>
        <v>0</v>
      </c>
    </row>
    <row r="28" spans="1:31" x14ac:dyDescent="0.25">
      <c r="D28" s="24" t="s">
        <v>43</v>
      </c>
    </row>
    <row r="29" spans="1:31" x14ac:dyDescent="0.25">
      <c r="D29" s="60" t="s">
        <v>44</v>
      </c>
    </row>
    <row r="30" spans="1:31" x14ac:dyDescent="0.25">
      <c r="D30" s="25" t="s">
        <v>106</v>
      </c>
    </row>
    <row r="31" spans="1:31" ht="15.75" thickBot="1" x14ac:dyDescent="0.3">
      <c r="D31" s="26" t="s">
        <v>105</v>
      </c>
    </row>
  </sheetData>
  <mergeCells count="28">
    <mergeCell ref="A9:A14"/>
    <mergeCell ref="B9:B14"/>
    <mergeCell ref="A16:A19"/>
    <mergeCell ref="B16:B19"/>
    <mergeCell ref="AC1:AC2"/>
    <mergeCell ref="V1:V2"/>
    <mergeCell ref="A1:C1"/>
    <mergeCell ref="D1:J1"/>
    <mergeCell ref="K1:M1"/>
    <mergeCell ref="N1:N2"/>
    <mergeCell ref="O1:O2"/>
    <mergeCell ref="P1:P2"/>
    <mergeCell ref="AD1:AD2"/>
    <mergeCell ref="AE1:AE2"/>
    <mergeCell ref="A2:M2"/>
    <mergeCell ref="A4:A8"/>
    <mergeCell ref="B4:B8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</mergeCells>
  <conditionalFormatting sqref="N4:AE26">
    <cfRule type="cellIs" dxfId="31" priority="1" operator="greaterThan">
      <formula>0</formula>
    </cfRule>
    <cfRule type="cellIs" dxfId="30" priority="2" stopIfTrue="1" operator="greaterThan">
      <formula>0</formula>
    </cfRule>
    <cfRule type="cellIs" dxfId="29" priority="3" stopIfTrue="1" operator="greaterThan">
      <formula>0</formula>
    </cfRule>
    <cfRule type="cellIs" dxfId="28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1"/>
  <sheetViews>
    <sheetView topLeftCell="A13" zoomScale="80" zoomScaleNormal="80" workbookViewId="0">
      <selection activeCell="K27" sqref="K27"/>
    </sheetView>
  </sheetViews>
  <sheetFormatPr defaultColWidth="9.7109375" defaultRowHeight="15" x14ac:dyDescent="0.25"/>
  <cols>
    <col min="1" max="1" width="7.140625" style="1" customWidth="1"/>
    <col min="2" max="2" width="23.42578125" style="1" customWidth="1"/>
    <col min="3" max="3" width="6" style="12" bestFit="1" customWidth="1"/>
    <col min="4" max="4" width="48.42578125" style="1" customWidth="1"/>
    <col min="5" max="5" width="19" style="1" customWidth="1"/>
    <col min="6" max="6" width="9.28515625" style="1" customWidth="1"/>
    <col min="7" max="7" width="12" style="1" bestFit="1" customWidth="1"/>
    <col min="8" max="8" width="8.85546875" style="1" customWidth="1"/>
    <col min="9" max="9" width="10.140625" style="1" bestFit="1" customWidth="1"/>
    <col min="10" max="10" width="13.42578125" style="16" bestFit="1" customWidth="1"/>
    <col min="11" max="11" width="11.5703125" style="4" customWidth="1"/>
    <col min="12" max="12" width="11" style="13" customWidth="1"/>
    <col min="13" max="13" width="10.85546875" style="5" customWidth="1"/>
    <col min="14" max="14" width="13.85546875" style="4" customWidth="1"/>
    <col min="15" max="15" width="12.7109375" style="4" customWidth="1"/>
    <col min="16" max="16" width="14.85546875" style="4" customWidth="1"/>
    <col min="17" max="17" width="14.140625" style="4" customWidth="1"/>
    <col min="18" max="18" width="15.28515625" style="4" customWidth="1"/>
    <col min="19" max="19" width="15.42578125" style="4" customWidth="1"/>
    <col min="20" max="20" width="17.85546875" style="4" customWidth="1"/>
    <col min="21" max="21" width="14" style="4" customWidth="1"/>
    <col min="22" max="22" width="13.5703125" style="4" customWidth="1"/>
    <col min="23" max="23" width="14.5703125" style="4" customWidth="1"/>
    <col min="24" max="24" width="14" style="4" customWidth="1"/>
    <col min="25" max="25" width="14.28515625" style="4" customWidth="1"/>
    <col min="26" max="31" width="12.7109375" style="2" customWidth="1"/>
    <col min="32" max="16384" width="9.7109375" style="2"/>
  </cols>
  <sheetData>
    <row r="1" spans="1:31" ht="31.7" customHeight="1" x14ac:dyDescent="0.25">
      <c r="A1" s="88" t="s">
        <v>37</v>
      </c>
      <c r="B1" s="88"/>
      <c r="C1" s="88"/>
      <c r="D1" s="88" t="s">
        <v>36</v>
      </c>
      <c r="E1" s="88"/>
      <c r="F1" s="88"/>
      <c r="G1" s="88"/>
      <c r="H1" s="88"/>
      <c r="I1" s="88"/>
      <c r="J1" s="88"/>
      <c r="K1" s="88" t="s">
        <v>38</v>
      </c>
      <c r="L1" s="88"/>
      <c r="M1" s="88"/>
      <c r="N1" s="87" t="s">
        <v>39</v>
      </c>
      <c r="O1" s="87" t="s">
        <v>39</v>
      </c>
      <c r="P1" s="87" t="s">
        <v>39</v>
      </c>
      <c r="Q1" s="87" t="s">
        <v>39</v>
      </c>
      <c r="R1" s="87" t="s">
        <v>39</v>
      </c>
      <c r="S1" s="87" t="s">
        <v>39</v>
      </c>
      <c r="T1" s="87" t="s">
        <v>39</v>
      </c>
      <c r="U1" s="87" t="s">
        <v>39</v>
      </c>
      <c r="V1" s="87" t="s">
        <v>39</v>
      </c>
      <c r="W1" s="87" t="s">
        <v>39</v>
      </c>
      <c r="X1" s="87" t="s">
        <v>39</v>
      </c>
      <c r="Y1" s="87" t="s">
        <v>39</v>
      </c>
      <c r="Z1" s="87" t="s">
        <v>39</v>
      </c>
      <c r="AA1" s="87" t="s">
        <v>39</v>
      </c>
      <c r="AB1" s="87" t="s">
        <v>39</v>
      </c>
      <c r="AC1" s="87" t="s">
        <v>39</v>
      </c>
      <c r="AD1" s="87" t="s">
        <v>39</v>
      </c>
      <c r="AE1" s="87" t="s">
        <v>39</v>
      </c>
    </row>
    <row r="2" spans="1:31" ht="24" customHeight="1" x14ac:dyDescent="0.25">
      <c r="A2" s="88" t="s">
        <v>107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3" customFormat="1" ht="45" x14ac:dyDescent="0.2">
      <c r="A3" s="23" t="s">
        <v>40</v>
      </c>
      <c r="B3" s="23" t="s">
        <v>27</v>
      </c>
      <c r="C3" s="23" t="s">
        <v>3</v>
      </c>
      <c r="D3" s="23" t="s">
        <v>28</v>
      </c>
      <c r="E3" s="23" t="s">
        <v>29</v>
      </c>
      <c r="F3" s="23" t="s">
        <v>42</v>
      </c>
      <c r="G3" s="23" t="s">
        <v>30</v>
      </c>
      <c r="H3" s="23" t="s">
        <v>4</v>
      </c>
      <c r="I3" s="23" t="s">
        <v>31</v>
      </c>
      <c r="J3" s="23" t="s">
        <v>41</v>
      </c>
      <c r="K3" s="10" t="s">
        <v>6</v>
      </c>
      <c r="L3" s="11" t="s">
        <v>0</v>
      </c>
      <c r="M3" s="9" t="s">
        <v>2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9" t="s">
        <v>1</v>
      </c>
      <c r="AD3" s="9" t="s">
        <v>1</v>
      </c>
      <c r="AE3" s="9" t="s">
        <v>1</v>
      </c>
    </row>
    <row r="4" spans="1:31" ht="50.1" customHeight="1" x14ac:dyDescent="0.25">
      <c r="A4" s="93">
        <v>1</v>
      </c>
      <c r="B4" s="94" t="s">
        <v>80</v>
      </c>
      <c r="C4" s="33">
        <v>1</v>
      </c>
      <c r="D4" s="34" t="s">
        <v>88</v>
      </c>
      <c r="E4" s="35" t="s">
        <v>45</v>
      </c>
      <c r="F4" s="36" t="s">
        <v>46</v>
      </c>
      <c r="G4" s="37" t="s">
        <v>17</v>
      </c>
      <c r="H4" s="36" t="s">
        <v>14</v>
      </c>
      <c r="I4" s="36" t="s">
        <v>15</v>
      </c>
      <c r="J4" s="38">
        <v>100</v>
      </c>
      <c r="K4" s="64">
        <f>10</f>
        <v>10</v>
      </c>
      <c r="L4" s="62">
        <f>K4-(SUM(N4:AE4))</f>
        <v>10</v>
      </c>
      <c r="M4" s="63" t="str">
        <f>IF(L4&lt;0,"ATENÇÃO","OK")</f>
        <v>OK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7" customHeight="1" x14ac:dyDescent="0.25">
      <c r="A5" s="93"/>
      <c r="B5" s="95"/>
      <c r="C5" s="33">
        <v>2</v>
      </c>
      <c r="D5" s="39" t="s">
        <v>89</v>
      </c>
      <c r="E5" s="40" t="s">
        <v>47</v>
      </c>
      <c r="F5" s="41" t="s">
        <v>46</v>
      </c>
      <c r="G5" s="37" t="s">
        <v>18</v>
      </c>
      <c r="H5" s="41" t="s">
        <v>14</v>
      </c>
      <c r="I5" s="36" t="s">
        <v>15</v>
      </c>
      <c r="J5" s="38">
        <v>70.44</v>
      </c>
      <c r="K5" s="64">
        <f>10</f>
        <v>10</v>
      </c>
      <c r="L5" s="62">
        <f t="shared" ref="L5:L26" si="0">K5-(SUM(N5:AE5))</f>
        <v>10</v>
      </c>
      <c r="M5" s="63" t="str">
        <f t="shared" ref="M5:M26" si="1">IF(L5&lt;0,"ATENÇÃO","OK")</f>
        <v>OK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50.1" customHeight="1" x14ac:dyDescent="0.25">
      <c r="A6" s="93"/>
      <c r="B6" s="95"/>
      <c r="C6" s="33">
        <v>3</v>
      </c>
      <c r="D6" s="34" t="s">
        <v>90</v>
      </c>
      <c r="E6" s="40" t="s">
        <v>47</v>
      </c>
      <c r="F6" s="36" t="s">
        <v>46</v>
      </c>
      <c r="G6" s="37" t="s">
        <v>20</v>
      </c>
      <c r="H6" s="36" t="s">
        <v>14</v>
      </c>
      <c r="I6" s="36" t="s">
        <v>15</v>
      </c>
      <c r="J6" s="38">
        <v>70.819999999999993</v>
      </c>
      <c r="K6" s="64">
        <f>5</f>
        <v>5</v>
      </c>
      <c r="L6" s="62">
        <f t="shared" si="0"/>
        <v>5</v>
      </c>
      <c r="M6" s="63" t="str">
        <f t="shared" si="1"/>
        <v>OK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50.1" customHeight="1" x14ac:dyDescent="0.25">
      <c r="A7" s="93"/>
      <c r="B7" s="95"/>
      <c r="C7" s="33">
        <v>4</v>
      </c>
      <c r="D7" s="34" t="s">
        <v>91</v>
      </c>
      <c r="E7" s="40" t="s">
        <v>47</v>
      </c>
      <c r="F7" s="36" t="s">
        <v>46</v>
      </c>
      <c r="G7" s="37" t="s">
        <v>21</v>
      </c>
      <c r="H7" s="36" t="s">
        <v>14</v>
      </c>
      <c r="I7" s="36" t="s">
        <v>15</v>
      </c>
      <c r="J7" s="38">
        <v>135.66999999999999</v>
      </c>
      <c r="K7" s="64">
        <f>5</f>
        <v>5</v>
      </c>
      <c r="L7" s="62">
        <f t="shared" si="0"/>
        <v>5</v>
      </c>
      <c r="M7" s="63" t="str">
        <f t="shared" si="1"/>
        <v>OK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50.1" customHeight="1" x14ac:dyDescent="0.25">
      <c r="A8" s="93"/>
      <c r="B8" s="96"/>
      <c r="C8" s="33">
        <v>5</v>
      </c>
      <c r="D8" s="34" t="s">
        <v>92</v>
      </c>
      <c r="E8" s="40" t="s">
        <v>47</v>
      </c>
      <c r="F8" s="36" t="s">
        <v>46</v>
      </c>
      <c r="G8" s="37" t="s">
        <v>22</v>
      </c>
      <c r="H8" s="36" t="s">
        <v>14</v>
      </c>
      <c r="I8" s="36" t="s">
        <v>15</v>
      </c>
      <c r="J8" s="38">
        <v>111.99</v>
      </c>
      <c r="K8" s="64">
        <f>5</f>
        <v>5</v>
      </c>
      <c r="L8" s="62">
        <f t="shared" si="0"/>
        <v>5</v>
      </c>
      <c r="M8" s="63" t="str">
        <f t="shared" si="1"/>
        <v>OK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50.1" customHeight="1" x14ac:dyDescent="0.25">
      <c r="A9" s="89">
        <v>2</v>
      </c>
      <c r="B9" s="90" t="s">
        <v>81</v>
      </c>
      <c r="C9" s="42">
        <v>6</v>
      </c>
      <c r="D9" s="18" t="s">
        <v>93</v>
      </c>
      <c r="E9" s="20" t="s">
        <v>48</v>
      </c>
      <c r="F9" s="43" t="s">
        <v>49</v>
      </c>
      <c r="G9" s="43" t="s">
        <v>19</v>
      </c>
      <c r="H9" s="43" t="s">
        <v>14</v>
      </c>
      <c r="I9" s="43" t="s">
        <v>15</v>
      </c>
      <c r="J9" s="44">
        <v>130</v>
      </c>
      <c r="K9" s="64">
        <f>30</f>
        <v>30</v>
      </c>
      <c r="L9" s="62">
        <f t="shared" si="0"/>
        <v>30</v>
      </c>
      <c r="M9" s="63" t="str">
        <f t="shared" si="1"/>
        <v>OK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50.1" customHeight="1" x14ac:dyDescent="0.25">
      <c r="A10" s="89"/>
      <c r="B10" s="91"/>
      <c r="C10" s="42">
        <v>7</v>
      </c>
      <c r="D10" s="18" t="s">
        <v>94</v>
      </c>
      <c r="E10" s="20" t="s">
        <v>48</v>
      </c>
      <c r="F10" s="43" t="s">
        <v>49</v>
      </c>
      <c r="G10" s="43" t="s">
        <v>19</v>
      </c>
      <c r="H10" s="43" t="s">
        <v>14</v>
      </c>
      <c r="I10" s="43" t="s">
        <v>15</v>
      </c>
      <c r="J10" s="44">
        <v>158</v>
      </c>
      <c r="K10" s="64">
        <f>30</f>
        <v>30</v>
      </c>
      <c r="L10" s="62">
        <f t="shared" si="0"/>
        <v>30</v>
      </c>
      <c r="M10" s="63" t="str">
        <f t="shared" si="1"/>
        <v>OK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50.1" customHeight="1" x14ac:dyDescent="0.25">
      <c r="A11" s="89"/>
      <c r="B11" s="91"/>
      <c r="C11" s="42">
        <v>8</v>
      </c>
      <c r="D11" s="45" t="s">
        <v>95</v>
      </c>
      <c r="E11" s="20" t="s">
        <v>48</v>
      </c>
      <c r="F11" s="43" t="s">
        <v>49</v>
      </c>
      <c r="G11" s="43" t="s">
        <v>23</v>
      </c>
      <c r="H11" s="43" t="s">
        <v>24</v>
      </c>
      <c r="I11" s="46" t="s">
        <v>15</v>
      </c>
      <c r="J11" s="44">
        <v>380</v>
      </c>
      <c r="K11" s="64">
        <f>2</f>
        <v>2</v>
      </c>
      <c r="L11" s="62">
        <f t="shared" si="0"/>
        <v>2</v>
      </c>
      <c r="M11" s="63" t="str">
        <f t="shared" si="1"/>
        <v>OK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50.1" customHeight="1" x14ac:dyDescent="0.25">
      <c r="A12" s="89"/>
      <c r="B12" s="91"/>
      <c r="C12" s="42">
        <v>9</v>
      </c>
      <c r="D12" s="45" t="s">
        <v>96</v>
      </c>
      <c r="E12" s="20" t="s">
        <v>48</v>
      </c>
      <c r="F12" s="43" t="s">
        <v>49</v>
      </c>
      <c r="G12" s="43" t="s">
        <v>23</v>
      </c>
      <c r="H12" s="43" t="s">
        <v>24</v>
      </c>
      <c r="I12" s="46" t="s">
        <v>15</v>
      </c>
      <c r="J12" s="47">
        <v>293.85000000000002</v>
      </c>
      <c r="K12" s="64">
        <f>2</f>
        <v>2</v>
      </c>
      <c r="L12" s="62">
        <f t="shared" si="0"/>
        <v>2</v>
      </c>
      <c r="M12" s="63" t="str">
        <f t="shared" si="1"/>
        <v>OK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34.5" customHeight="1" x14ac:dyDescent="0.25">
      <c r="A13" s="89"/>
      <c r="B13" s="91"/>
      <c r="C13" s="42">
        <v>10</v>
      </c>
      <c r="D13" s="18" t="s">
        <v>33</v>
      </c>
      <c r="E13" s="20" t="s">
        <v>48</v>
      </c>
      <c r="F13" s="48" t="s">
        <v>50</v>
      </c>
      <c r="G13" s="43" t="s">
        <v>32</v>
      </c>
      <c r="H13" s="43" t="s">
        <v>14</v>
      </c>
      <c r="I13" s="43" t="s">
        <v>16</v>
      </c>
      <c r="J13" s="47">
        <v>24</v>
      </c>
      <c r="K13" s="64">
        <f>30</f>
        <v>30</v>
      </c>
      <c r="L13" s="62">
        <f t="shared" si="0"/>
        <v>30</v>
      </c>
      <c r="M13" s="63" t="str">
        <f t="shared" si="1"/>
        <v>OK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39.75" customHeight="1" x14ac:dyDescent="0.25">
      <c r="A14" s="89"/>
      <c r="B14" s="92"/>
      <c r="C14" s="42">
        <v>11</v>
      </c>
      <c r="D14" s="18" t="s">
        <v>34</v>
      </c>
      <c r="E14" s="20" t="s">
        <v>48</v>
      </c>
      <c r="F14" s="48" t="s">
        <v>50</v>
      </c>
      <c r="G14" s="43" t="s">
        <v>32</v>
      </c>
      <c r="H14" s="43" t="s">
        <v>14</v>
      </c>
      <c r="I14" s="43" t="s">
        <v>16</v>
      </c>
      <c r="J14" s="47">
        <v>25</v>
      </c>
      <c r="K14" s="64">
        <f>30</f>
        <v>30</v>
      </c>
      <c r="L14" s="62">
        <f t="shared" si="0"/>
        <v>30</v>
      </c>
      <c r="M14" s="63" t="str">
        <f t="shared" si="1"/>
        <v>OK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50.1" customHeight="1" x14ac:dyDescent="0.25">
      <c r="A15" s="55">
        <v>3</v>
      </c>
      <c r="B15" s="56" t="s">
        <v>82</v>
      </c>
      <c r="C15" s="33">
        <v>12</v>
      </c>
      <c r="D15" s="49" t="s">
        <v>97</v>
      </c>
      <c r="E15" s="32" t="s">
        <v>51</v>
      </c>
      <c r="F15" s="37" t="s">
        <v>52</v>
      </c>
      <c r="G15" s="37" t="s">
        <v>25</v>
      </c>
      <c r="H15" s="37" t="s">
        <v>14</v>
      </c>
      <c r="I15" s="37" t="s">
        <v>15</v>
      </c>
      <c r="J15" s="50">
        <v>50.15</v>
      </c>
      <c r="K15" s="64">
        <f>15</f>
        <v>15</v>
      </c>
      <c r="L15" s="62">
        <f t="shared" si="0"/>
        <v>15</v>
      </c>
      <c r="M15" s="63" t="str">
        <f t="shared" si="1"/>
        <v>OK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65.25" customHeight="1" x14ac:dyDescent="0.25">
      <c r="A16" s="89">
        <v>4</v>
      </c>
      <c r="B16" s="90" t="s">
        <v>83</v>
      </c>
      <c r="C16" s="42">
        <v>13</v>
      </c>
      <c r="D16" s="18" t="s">
        <v>98</v>
      </c>
      <c r="E16" s="20" t="s">
        <v>53</v>
      </c>
      <c r="F16" s="48" t="s">
        <v>54</v>
      </c>
      <c r="G16" s="43" t="s">
        <v>26</v>
      </c>
      <c r="H16" s="43" t="s">
        <v>14</v>
      </c>
      <c r="I16" s="43" t="s">
        <v>15</v>
      </c>
      <c r="J16" s="47">
        <v>90</v>
      </c>
      <c r="K16" s="64">
        <f>30</f>
        <v>30</v>
      </c>
      <c r="L16" s="62">
        <f t="shared" si="0"/>
        <v>30</v>
      </c>
      <c r="M16" s="63" t="str">
        <f t="shared" si="1"/>
        <v>OK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50.1" customHeight="1" x14ac:dyDescent="0.25">
      <c r="A17" s="89"/>
      <c r="B17" s="91"/>
      <c r="C17" s="42">
        <v>14</v>
      </c>
      <c r="D17" s="18" t="s">
        <v>99</v>
      </c>
      <c r="E17" s="20" t="s">
        <v>55</v>
      </c>
      <c r="F17" s="48" t="s">
        <v>54</v>
      </c>
      <c r="G17" s="43" t="s">
        <v>26</v>
      </c>
      <c r="H17" s="43" t="s">
        <v>14</v>
      </c>
      <c r="I17" s="43" t="s">
        <v>15</v>
      </c>
      <c r="J17" s="47">
        <v>60</v>
      </c>
      <c r="K17" s="64">
        <f>0</f>
        <v>0</v>
      </c>
      <c r="L17" s="62">
        <f t="shared" si="0"/>
        <v>0</v>
      </c>
      <c r="M17" s="63" t="str">
        <f t="shared" si="1"/>
        <v>OK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4.25" customHeight="1" x14ac:dyDescent="0.25">
      <c r="A18" s="89"/>
      <c r="B18" s="91"/>
      <c r="C18" s="42">
        <v>15</v>
      </c>
      <c r="D18" s="18" t="s">
        <v>100</v>
      </c>
      <c r="E18" s="20" t="s">
        <v>56</v>
      </c>
      <c r="F18" s="48" t="s">
        <v>54</v>
      </c>
      <c r="G18" s="43" t="s">
        <v>26</v>
      </c>
      <c r="H18" s="43" t="s">
        <v>14</v>
      </c>
      <c r="I18" s="43" t="s">
        <v>15</v>
      </c>
      <c r="J18" s="47">
        <v>236</v>
      </c>
      <c r="K18" s="64">
        <f>30</f>
        <v>30</v>
      </c>
      <c r="L18" s="62">
        <f t="shared" si="0"/>
        <v>30</v>
      </c>
      <c r="M18" s="63" t="str">
        <f t="shared" si="1"/>
        <v>OK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50.1" customHeight="1" x14ac:dyDescent="0.25">
      <c r="A19" s="89"/>
      <c r="B19" s="92"/>
      <c r="C19" s="42">
        <v>16</v>
      </c>
      <c r="D19" s="18" t="s">
        <v>101</v>
      </c>
      <c r="E19" s="20" t="s">
        <v>57</v>
      </c>
      <c r="F19" s="48" t="s">
        <v>54</v>
      </c>
      <c r="G19" s="43" t="s">
        <v>26</v>
      </c>
      <c r="H19" s="43" t="s">
        <v>14</v>
      </c>
      <c r="I19" s="43" t="s">
        <v>15</v>
      </c>
      <c r="J19" s="44">
        <v>238.94</v>
      </c>
      <c r="K19" s="64">
        <f>30</f>
        <v>30</v>
      </c>
      <c r="L19" s="62">
        <f t="shared" si="0"/>
        <v>30</v>
      </c>
      <c r="M19" s="63" t="str">
        <f t="shared" si="1"/>
        <v>OK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50.1" customHeight="1" x14ac:dyDescent="0.25">
      <c r="A20" s="55">
        <v>5</v>
      </c>
      <c r="B20" s="56" t="s">
        <v>84</v>
      </c>
      <c r="C20" s="51">
        <v>17</v>
      </c>
      <c r="D20" s="27" t="s">
        <v>58</v>
      </c>
      <c r="E20" s="28" t="s">
        <v>59</v>
      </c>
      <c r="F20" s="52" t="s">
        <v>54</v>
      </c>
      <c r="G20" s="37" t="s">
        <v>60</v>
      </c>
      <c r="H20" s="37" t="s">
        <v>14</v>
      </c>
      <c r="I20" s="37" t="s">
        <v>15</v>
      </c>
      <c r="J20" s="50">
        <v>79</v>
      </c>
      <c r="K20" s="64">
        <f>0</f>
        <v>0</v>
      </c>
      <c r="L20" s="62">
        <f t="shared" si="0"/>
        <v>0</v>
      </c>
      <c r="M20" s="63" t="str">
        <f t="shared" si="1"/>
        <v>OK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50.1" customHeight="1" x14ac:dyDescent="0.25">
      <c r="A21" s="57">
        <v>6</v>
      </c>
      <c r="B21" s="58" t="s">
        <v>85</v>
      </c>
      <c r="C21" s="42">
        <v>18</v>
      </c>
      <c r="D21" s="18" t="s">
        <v>61</v>
      </c>
      <c r="E21" s="20" t="s">
        <v>62</v>
      </c>
      <c r="F21" s="48" t="s">
        <v>54</v>
      </c>
      <c r="G21" s="43" t="s">
        <v>63</v>
      </c>
      <c r="H21" s="43" t="s">
        <v>14</v>
      </c>
      <c r="I21" s="43" t="s">
        <v>15</v>
      </c>
      <c r="J21" s="44">
        <v>128.33000000000001</v>
      </c>
      <c r="K21" s="64">
        <f>0</f>
        <v>0</v>
      </c>
      <c r="L21" s="62">
        <f t="shared" si="0"/>
        <v>0</v>
      </c>
      <c r="M21" s="63" t="str">
        <f t="shared" si="1"/>
        <v>OK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50.1" customHeight="1" x14ac:dyDescent="0.25">
      <c r="A22" s="55">
        <v>8</v>
      </c>
      <c r="B22" s="56" t="s">
        <v>86</v>
      </c>
      <c r="C22" s="51">
        <v>20</v>
      </c>
      <c r="D22" s="29" t="s">
        <v>64</v>
      </c>
      <c r="E22" s="28" t="s">
        <v>65</v>
      </c>
      <c r="F22" s="28" t="s">
        <v>54</v>
      </c>
      <c r="G22" s="28" t="s">
        <v>66</v>
      </c>
      <c r="H22" s="28" t="s">
        <v>14</v>
      </c>
      <c r="I22" s="28" t="s">
        <v>15</v>
      </c>
      <c r="J22" s="50">
        <v>39.99</v>
      </c>
      <c r="K22" s="64">
        <f>0</f>
        <v>0</v>
      </c>
      <c r="L22" s="62">
        <f t="shared" si="0"/>
        <v>0</v>
      </c>
      <c r="M22" s="63" t="str">
        <f t="shared" si="1"/>
        <v>OK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50.1" customHeight="1" x14ac:dyDescent="0.25">
      <c r="A23" s="57">
        <v>9</v>
      </c>
      <c r="B23" s="58" t="s">
        <v>86</v>
      </c>
      <c r="C23" s="42">
        <v>21</v>
      </c>
      <c r="D23" s="30" t="s">
        <v>67</v>
      </c>
      <c r="E23" s="31" t="s">
        <v>68</v>
      </c>
      <c r="F23" s="31" t="s">
        <v>54</v>
      </c>
      <c r="G23" s="31" t="s">
        <v>66</v>
      </c>
      <c r="H23" s="31" t="s">
        <v>14</v>
      </c>
      <c r="I23" s="31" t="s">
        <v>15</v>
      </c>
      <c r="J23" s="44">
        <v>39.99</v>
      </c>
      <c r="K23" s="64">
        <f>0</f>
        <v>0</v>
      </c>
      <c r="L23" s="62">
        <f t="shared" si="0"/>
        <v>0</v>
      </c>
      <c r="M23" s="63" t="str">
        <f t="shared" si="1"/>
        <v>OK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50.1" customHeight="1" x14ac:dyDescent="0.25">
      <c r="A24" s="55">
        <v>10</v>
      </c>
      <c r="B24" s="56" t="s">
        <v>86</v>
      </c>
      <c r="C24" s="51">
        <v>22</v>
      </c>
      <c r="D24" s="29" t="s">
        <v>69</v>
      </c>
      <c r="E24" s="28" t="s">
        <v>70</v>
      </c>
      <c r="F24" s="28" t="s">
        <v>54</v>
      </c>
      <c r="G24" s="28" t="s">
        <v>71</v>
      </c>
      <c r="H24" s="28" t="s">
        <v>14</v>
      </c>
      <c r="I24" s="28" t="s">
        <v>15</v>
      </c>
      <c r="J24" s="50">
        <v>119.55</v>
      </c>
      <c r="K24" s="64">
        <f>0</f>
        <v>0</v>
      </c>
      <c r="L24" s="62">
        <f t="shared" si="0"/>
        <v>0</v>
      </c>
      <c r="M24" s="63" t="str">
        <f t="shared" si="1"/>
        <v>OK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50.1" customHeight="1" x14ac:dyDescent="0.25">
      <c r="A25" s="57">
        <v>11</v>
      </c>
      <c r="B25" s="58" t="s">
        <v>87</v>
      </c>
      <c r="C25" s="42">
        <v>23</v>
      </c>
      <c r="D25" s="18" t="s">
        <v>35</v>
      </c>
      <c r="E25" s="20" t="s">
        <v>72</v>
      </c>
      <c r="F25" s="48" t="s">
        <v>73</v>
      </c>
      <c r="G25" s="20" t="s">
        <v>74</v>
      </c>
      <c r="H25" s="31" t="s">
        <v>24</v>
      </c>
      <c r="I25" s="31" t="s">
        <v>75</v>
      </c>
      <c r="J25" s="44">
        <v>37.03</v>
      </c>
      <c r="K25" s="64">
        <f>0</f>
        <v>0</v>
      </c>
      <c r="L25" s="62">
        <f t="shared" si="0"/>
        <v>0</v>
      </c>
      <c r="M25" s="63" t="str">
        <f t="shared" si="1"/>
        <v>OK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05" x14ac:dyDescent="0.25">
      <c r="A26" s="55">
        <v>12</v>
      </c>
      <c r="B26" s="59" t="s">
        <v>87</v>
      </c>
      <c r="C26" s="54">
        <v>24</v>
      </c>
      <c r="D26" s="49" t="s">
        <v>76</v>
      </c>
      <c r="E26" s="32" t="s">
        <v>77</v>
      </c>
      <c r="F26" s="52" t="s">
        <v>78</v>
      </c>
      <c r="G26" s="32" t="s">
        <v>79</v>
      </c>
      <c r="H26" s="32" t="s">
        <v>24</v>
      </c>
      <c r="I26" s="32" t="s">
        <v>75</v>
      </c>
      <c r="J26" s="53">
        <v>599.78</v>
      </c>
      <c r="K26" s="64">
        <f>0</f>
        <v>0</v>
      </c>
      <c r="L26" s="62">
        <f t="shared" si="0"/>
        <v>0</v>
      </c>
      <c r="M26" s="63" t="str">
        <f t="shared" si="1"/>
        <v>OK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.75" thickBot="1" x14ac:dyDescent="0.3">
      <c r="N27" s="21">
        <f>SUMPRODUCT($J$4:$J$26,N4:N26)</f>
        <v>0</v>
      </c>
      <c r="O27" s="21">
        <f t="shared" ref="O27:AE27" si="2">SUMPRODUCT($J$4:$J$26,O4:O26)</f>
        <v>0</v>
      </c>
      <c r="P27" s="21">
        <f t="shared" si="2"/>
        <v>0</v>
      </c>
      <c r="Q27" s="21">
        <f t="shared" si="2"/>
        <v>0</v>
      </c>
      <c r="R27" s="21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si="2"/>
        <v>0</v>
      </c>
      <c r="X27" s="21">
        <f t="shared" si="2"/>
        <v>0</v>
      </c>
      <c r="Y27" s="21">
        <f t="shared" si="2"/>
        <v>0</v>
      </c>
      <c r="Z27" s="21">
        <f t="shared" si="2"/>
        <v>0</v>
      </c>
      <c r="AA27" s="21">
        <f t="shared" si="2"/>
        <v>0</v>
      </c>
      <c r="AB27" s="21">
        <f t="shared" si="2"/>
        <v>0</v>
      </c>
      <c r="AC27" s="21">
        <f t="shared" si="2"/>
        <v>0</v>
      </c>
      <c r="AD27" s="21">
        <f t="shared" si="2"/>
        <v>0</v>
      </c>
      <c r="AE27" s="21">
        <f t="shared" si="2"/>
        <v>0</v>
      </c>
    </row>
    <row r="28" spans="1:31" x14ac:dyDescent="0.25">
      <c r="D28" s="24" t="s">
        <v>43</v>
      </c>
    </row>
    <row r="29" spans="1:31" x14ac:dyDescent="0.25">
      <c r="D29" s="60" t="s">
        <v>44</v>
      </c>
    </row>
    <row r="30" spans="1:31" x14ac:dyDescent="0.25">
      <c r="D30" s="25" t="s">
        <v>106</v>
      </c>
    </row>
    <row r="31" spans="1:31" ht="15.75" thickBot="1" x14ac:dyDescent="0.3">
      <c r="D31" s="26" t="s">
        <v>105</v>
      </c>
    </row>
  </sheetData>
  <mergeCells count="28">
    <mergeCell ref="A9:A14"/>
    <mergeCell ref="B9:B14"/>
    <mergeCell ref="A16:A19"/>
    <mergeCell ref="B16:B19"/>
    <mergeCell ref="AC1:AC2"/>
    <mergeCell ref="V1:V2"/>
    <mergeCell ref="A1:C1"/>
    <mergeCell ref="D1:J1"/>
    <mergeCell ref="K1:M1"/>
    <mergeCell ref="N1:N2"/>
    <mergeCell ref="O1:O2"/>
    <mergeCell ref="P1:P2"/>
    <mergeCell ref="AD1:AD2"/>
    <mergeCell ref="AE1:AE2"/>
    <mergeCell ref="A2:M2"/>
    <mergeCell ref="A4:A8"/>
    <mergeCell ref="B4:B8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</mergeCells>
  <conditionalFormatting sqref="N4:AE26">
    <cfRule type="cellIs" dxfId="27" priority="1" operator="greaterThan">
      <formula>0</formula>
    </cfRule>
    <cfRule type="cellIs" dxfId="26" priority="2" stopIfTrue="1" operator="greaterThan">
      <formula>0</formula>
    </cfRule>
    <cfRule type="cellIs" dxfId="25" priority="3" stopIfTrue="1" operator="greaterThan">
      <formula>0</formula>
    </cfRule>
    <cfRule type="cellIs" dxfId="24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1"/>
  <sheetViews>
    <sheetView topLeftCell="A16" zoomScale="80" zoomScaleNormal="80" workbookViewId="0">
      <selection activeCell="K27" sqref="K27"/>
    </sheetView>
  </sheetViews>
  <sheetFormatPr defaultColWidth="9.7109375" defaultRowHeight="15" x14ac:dyDescent="0.25"/>
  <cols>
    <col min="1" max="1" width="7.140625" style="1" customWidth="1"/>
    <col min="2" max="2" width="23.42578125" style="1" customWidth="1"/>
    <col min="3" max="3" width="6" style="12" bestFit="1" customWidth="1"/>
    <col min="4" max="4" width="48.42578125" style="1" customWidth="1"/>
    <col min="5" max="5" width="19" style="1" customWidth="1"/>
    <col min="6" max="6" width="9.28515625" style="1" customWidth="1"/>
    <col min="7" max="7" width="12" style="1" bestFit="1" customWidth="1"/>
    <col min="8" max="8" width="8.85546875" style="1" customWidth="1"/>
    <col min="9" max="9" width="10.140625" style="1" bestFit="1" customWidth="1"/>
    <col min="10" max="10" width="13.42578125" style="16" bestFit="1" customWidth="1"/>
    <col min="11" max="11" width="11.5703125" style="4" customWidth="1"/>
    <col min="12" max="12" width="11" style="13" customWidth="1"/>
    <col min="13" max="13" width="10.85546875" style="5" customWidth="1"/>
    <col min="14" max="14" width="13.85546875" style="4" customWidth="1"/>
    <col min="15" max="15" width="12.7109375" style="4" customWidth="1"/>
    <col min="16" max="16" width="14.85546875" style="4" customWidth="1"/>
    <col min="17" max="17" width="14.140625" style="4" customWidth="1"/>
    <col min="18" max="18" width="15.28515625" style="4" customWidth="1"/>
    <col min="19" max="19" width="15.42578125" style="4" customWidth="1"/>
    <col min="20" max="20" width="17.85546875" style="4" customWidth="1"/>
    <col min="21" max="21" width="14" style="4" customWidth="1"/>
    <col min="22" max="22" width="13.5703125" style="4" customWidth="1"/>
    <col min="23" max="23" width="14.5703125" style="4" customWidth="1"/>
    <col min="24" max="24" width="14" style="4" customWidth="1"/>
    <col min="25" max="25" width="14.28515625" style="4" customWidth="1"/>
    <col min="26" max="31" width="12.7109375" style="2" customWidth="1"/>
    <col min="32" max="16384" width="9.7109375" style="2"/>
  </cols>
  <sheetData>
    <row r="1" spans="1:31" ht="31.7" customHeight="1" x14ac:dyDescent="0.25">
      <c r="A1" s="88" t="s">
        <v>37</v>
      </c>
      <c r="B1" s="88"/>
      <c r="C1" s="88"/>
      <c r="D1" s="88" t="s">
        <v>36</v>
      </c>
      <c r="E1" s="88"/>
      <c r="F1" s="88"/>
      <c r="G1" s="88"/>
      <c r="H1" s="88"/>
      <c r="I1" s="88"/>
      <c r="J1" s="88"/>
      <c r="K1" s="88" t="s">
        <v>38</v>
      </c>
      <c r="L1" s="88"/>
      <c r="M1" s="88"/>
      <c r="N1" s="87" t="s">
        <v>39</v>
      </c>
      <c r="O1" s="87" t="s">
        <v>39</v>
      </c>
      <c r="P1" s="87" t="s">
        <v>39</v>
      </c>
      <c r="Q1" s="87" t="s">
        <v>39</v>
      </c>
      <c r="R1" s="87" t="s">
        <v>39</v>
      </c>
      <c r="S1" s="87" t="s">
        <v>39</v>
      </c>
      <c r="T1" s="87" t="s">
        <v>39</v>
      </c>
      <c r="U1" s="87" t="s">
        <v>39</v>
      </c>
      <c r="V1" s="87" t="s">
        <v>39</v>
      </c>
      <c r="W1" s="87" t="s">
        <v>39</v>
      </c>
      <c r="X1" s="87" t="s">
        <v>39</v>
      </c>
      <c r="Y1" s="87" t="s">
        <v>39</v>
      </c>
      <c r="Z1" s="87" t="s">
        <v>39</v>
      </c>
      <c r="AA1" s="87" t="s">
        <v>39</v>
      </c>
      <c r="AB1" s="87" t="s">
        <v>39</v>
      </c>
      <c r="AC1" s="87" t="s">
        <v>39</v>
      </c>
      <c r="AD1" s="87" t="s">
        <v>39</v>
      </c>
      <c r="AE1" s="87" t="s">
        <v>39</v>
      </c>
    </row>
    <row r="2" spans="1:31" ht="24" customHeight="1" x14ac:dyDescent="0.25">
      <c r="A2" s="88" t="s">
        <v>108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3" customFormat="1" ht="45" x14ac:dyDescent="0.2">
      <c r="A3" s="23" t="s">
        <v>40</v>
      </c>
      <c r="B3" s="23" t="s">
        <v>27</v>
      </c>
      <c r="C3" s="23" t="s">
        <v>3</v>
      </c>
      <c r="D3" s="23" t="s">
        <v>28</v>
      </c>
      <c r="E3" s="23" t="s">
        <v>29</v>
      </c>
      <c r="F3" s="23" t="s">
        <v>42</v>
      </c>
      <c r="G3" s="23" t="s">
        <v>30</v>
      </c>
      <c r="H3" s="23" t="s">
        <v>4</v>
      </c>
      <c r="I3" s="23" t="s">
        <v>31</v>
      </c>
      <c r="J3" s="23" t="s">
        <v>41</v>
      </c>
      <c r="K3" s="10" t="s">
        <v>6</v>
      </c>
      <c r="L3" s="11" t="s">
        <v>0</v>
      </c>
      <c r="M3" s="9" t="s">
        <v>2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9" t="s">
        <v>1</v>
      </c>
      <c r="AD3" s="9" t="s">
        <v>1</v>
      </c>
      <c r="AE3" s="9" t="s">
        <v>1</v>
      </c>
    </row>
    <row r="4" spans="1:31" ht="50.1" customHeight="1" x14ac:dyDescent="0.25">
      <c r="A4" s="93">
        <v>1</v>
      </c>
      <c r="B4" s="94" t="s">
        <v>80</v>
      </c>
      <c r="C4" s="33">
        <v>1</v>
      </c>
      <c r="D4" s="34" t="s">
        <v>88</v>
      </c>
      <c r="E4" s="35" t="s">
        <v>45</v>
      </c>
      <c r="F4" s="36" t="s">
        <v>46</v>
      </c>
      <c r="G4" s="37" t="s">
        <v>17</v>
      </c>
      <c r="H4" s="36" t="s">
        <v>14</v>
      </c>
      <c r="I4" s="36" t="s">
        <v>15</v>
      </c>
      <c r="J4" s="38">
        <v>100</v>
      </c>
      <c r="K4" s="64">
        <f>40</f>
        <v>40</v>
      </c>
      <c r="L4" s="62">
        <f>K4-(SUM(N4:AE4))</f>
        <v>40</v>
      </c>
      <c r="M4" s="63" t="str">
        <f>IF(L4&lt;0,"ATENÇÃO","OK")</f>
        <v>OK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7" customHeight="1" x14ac:dyDescent="0.25">
      <c r="A5" s="93"/>
      <c r="B5" s="95"/>
      <c r="C5" s="33">
        <v>2</v>
      </c>
      <c r="D5" s="39" t="s">
        <v>89</v>
      </c>
      <c r="E5" s="40" t="s">
        <v>47</v>
      </c>
      <c r="F5" s="41" t="s">
        <v>46</v>
      </c>
      <c r="G5" s="37" t="s">
        <v>18</v>
      </c>
      <c r="H5" s="41" t="s">
        <v>14</v>
      </c>
      <c r="I5" s="36" t="s">
        <v>15</v>
      </c>
      <c r="J5" s="38">
        <v>70.44</v>
      </c>
      <c r="K5" s="64">
        <f>0</f>
        <v>0</v>
      </c>
      <c r="L5" s="62">
        <f t="shared" ref="L5:L26" si="0">K5-(SUM(N5:AE5))</f>
        <v>0</v>
      </c>
      <c r="M5" s="63" t="str">
        <f t="shared" ref="M5:M26" si="1">IF(L5&lt;0,"ATENÇÃO","OK")</f>
        <v>OK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50.1" customHeight="1" x14ac:dyDescent="0.25">
      <c r="A6" s="93"/>
      <c r="B6" s="95"/>
      <c r="C6" s="33">
        <v>3</v>
      </c>
      <c r="D6" s="34" t="s">
        <v>90</v>
      </c>
      <c r="E6" s="40" t="s">
        <v>47</v>
      </c>
      <c r="F6" s="36" t="s">
        <v>46</v>
      </c>
      <c r="G6" s="37" t="s">
        <v>20</v>
      </c>
      <c r="H6" s="36" t="s">
        <v>14</v>
      </c>
      <c r="I6" s="36" t="s">
        <v>15</v>
      </c>
      <c r="J6" s="38">
        <v>70.819999999999993</v>
      </c>
      <c r="K6" s="64">
        <f>0</f>
        <v>0</v>
      </c>
      <c r="L6" s="62">
        <f t="shared" si="0"/>
        <v>0</v>
      </c>
      <c r="M6" s="63" t="str">
        <f t="shared" si="1"/>
        <v>OK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50.1" customHeight="1" x14ac:dyDescent="0.25">
      <c r="A7" s="93"/>
      <c r="B7" s="95"/>
      <c r="C7" s="33">
        <v>4</v>
      </c>
      <c r="D7" s="34" t="s">
        <v>91</v>
      </c>
      <c r="E7" s="40" t="s">
        <v>47</v>
      </c>
      <c r="F7" s="36" t="s">
        <v>46</v>
      </c>
      <c r="G7" s="37" t="s">
        <v>21</v>
      </c>
      <c r="H7" s="36" t="s">
        <v>14</v>
      </c>
      <c r="I7" s="36" t="s">
        <v>15</v>
      </c>
      <c r="J7" s="38">
        <v>135.66999999999999</v>
      </c>
      <c r="K7" s="64">
        <f>60</f>
        <v>60</v>
      </c>
      <c r="L7" s="62">
        <f t="shared" si="0"/>
        <v>60</v>
      </c>
      <c r="M7" s="63" t="str">
        <f t="shared" si="1"/>
        <v>OK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50.1" customHeight="1" x14ac:dyDescent="0.25">
      <c r="A8" s="93"/>
      <c r="B8" s="96"/>
      <c r="C8" s="33">
        <v>5</v>
      </c>
      <c r="D8" s="34" t="s">
        <v>92</v>
      </c>
      <c r="E8" s="40" t="s">
        <v>47</v>
      </c>
      <c r="F8" s="36" t="s">
        <v>46</v>
      </c>
      <c r="G8" s="37" t="s">
        <v>22</v>
      </c>
      <c r="H8" s="36" t="s">
        <v>14</v>
      </c>
      <c r="I8" s="36" t="s">
        <v>15</v>
      </c>
      <c r="J8" s="38">
        <v>111.99</v>
      </c>
      <c r="K8" s="64">
        <f>80</f>
        <v>80</v>
      </c>
      <c r="L8" s="62">
        <f t="shared" si="0"/>
        <v>80</v>
      </c>
      <c r="M8" s="63" t="str">
        <f t="shared" si="1"/>
        <v>OK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50.1" customHeight="1" x14ac:dyDescent="0.25">
      <c r="A9" s="89">
        <v>2</v>
      </c>
      <c r="B9" s="90" t="s">
        <v>81</v>
      </c>
      <c r="C9" s="42">
        <v>6</v>
      </c>
      <c r="D9" s="18" t="s">
        <v>93</v>
      </c>
      <c r="E9" s="20" t="s">
        <v>48</v>
      </c>
      <c r="F9" s="43" t="s">
        <v>49</v>
      </c>
      <c r="G9" s="43" t="s">
        <v>19</v>
      </c>
      <c r="H9" s="43" t="s">
        <v>14</v>
      </c>
      <c r="I9" s="43" t="s">
        <v>15</v>
      </c>
      <c r="J9" s="44">
        <v>130</v>
      </c>
      <c r="K9" s="64">
        <f>100</f>
        <v>100</v>
      </c>
      <c r="L9" s="62">
        <f t="shared" si="0"/>
        <v>100</v>
      </c>
      <c r="M9" s="63" t="str">
        <f t="shared" si="1"/>
        <v>OK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50.1" customHeight="1" x14ac:dyDescent="0.25">
      <c r="A10" s="89"/>
      <c r="B10" s="91"/>
      <c r="C10" s="42">
        <v>7</v>
      </c>
      <c r="D10" s="18" t="s">
        <v>94</v>
      </c>
      <c r="E10" s="20" t="s">
        <v>48</v>
      </c>
      <c r="F10" s="43" t="s">
        <v>49</v>
      </c>
      <c r="G10" s="43" t="s">
        <v>19</v>
      </c>
      <c r="H10" s="43" t="s">
        <v>14</v>
      </c>
      <c r="I10" s="43" t="s">
        <v>15</v>
      </c>
      <c r="J10" s="44">
        <v>158</v>
      </c>
      <c r="K10" s="64">
        <f>100</f>
        <v>100</v>
      </c>
      <c r="L10" s="62">
        <f t="shared" si="0"/>
        <v>100</v>
      </c>
      <c r="M10" s="63" t="str">
        <f t="shared" si="1"/>
        <v>OK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50.1" customHeight="1" x14ac:dyDescent="0.25">
      <c r="A11" s="89"/>
      <c r="B11" s="91"/>
      <c r="C11" s="42">
        <v>8</v>
      </c>
      <c r="D11" s="45" t="s">
        <v>95</v>
      </c>
      <c r="E11" s="20" t="s">
        <v>48</v>
      </c>
      <c r="F11" s="43" t="s">
        <v>49</v>
      </c>
      <c r="G11" s="43" t="s">
        <v>23</v>
      </c>
      <c r="H11" s="43" t="s">
        <v>24</v>
      </c>
      <c r="I11" s="46" t="s">
        <v>15</v>
      </c>
      <c r="J11" s="44">
        <v>380</v>
      </c>
      <c r="K11" s="64">
        <f>4</f>
        <v>4</v>
      </c>
      <c r="L11" s="62">
        <f t="shared" si="0"/>
        <v>4</v>
      </c>
      <c r="M11" s="63" t="str">
        <f t="shared" si="1"/>
        <v>OK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50.1" customHeight="1" x14ac:dyDescent="0.25">
      <c r="A12" s="89"/>
      <c r="B12" s="91"/>
      <c r="C12" s="42">
        <v>9</v>
      </c>
      <c r="D12" s="45" t="s">
        <v>96</v>
      </c>
      <c r="E12" s="20" t="s">
        <v>48</v>
      </c>
      <c r="F12" s="43" t="s">
        <v>49</v>
      </c>
      <c r="G12" s="43" t="s">
        <v>23</v>
      </c>
      <c r="H12" s="43" t="s">
        <v>24</v>
      </c>
      <c r="I12" s="46" t="s">
        <v>15</v>
      </c>
      <c r="J12" s="47">
        <v>293.85000000000002</v>
      </c>
      <c r="K12" s="64">
        <f>4</f>
        <v>4</v>
      </c>
      <c r="L12" s="62">
        <f t="shared" si="0"/>
        <v>4</v>
      </c>
      <c r="M12" s="63" t="str">
        <f t="shared" si="1"/>
        <v>OK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34.5" customHeight="1" x14ac:dyDescent="0.25">
      <c r="A13" s="89"/>
      <c r="B13" s="91"/>
      <c r="C13" s="42">
        <v>10</v>
      </c>
      <c r="D13" s="18" t="s">
        <v>33</v>
      </c>
      <c r="E13" s="20" t="s">
        <v>48</v>
      </c>
      <c r="F13" s="48" t="s">
        <v>50</v>
      </c>
      <c r="G13" s="43" t="s">
        <v>32</v>
      </c>
      <c r="H13" s="43" t="s">
        <v>14</v>
      </c>
      <c r="I13" s="43" t="s">
        <v>16</v>
      </c>
      <c r="J13" s="47">
        <v>24</v>
      </c>
      <c r="K13" s="64">
        <f>200</f>
        <v>200</v>
      </c>
      <c r="L13" s="62">
        <f t="shared" si="0"/>
        <v>200</v>
      </c>
      <c r="M13" s="63" t="str">
        <f t="shared" si="1"/>
        <v>OK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39.75" customHeight="1" x14ac:dyDescent="0.25">
      <c r="A14" s="89"/>
      <c r="B14" s="92"/>
      <c r="C14" s="42">
        <v>11</v>
      </c>
      <c r="D14" s="18" t="s">
        <v>34</v>
      </c>
      <c r="E14" s="20" t="s">
        <v>48</v>
      </c>
      <c r="F14" s="48" t="s">
        <v>50</v>
      </c>
      <c r="G14" s="43" t="s">
        <v>32</v>
      </c>
      <c r="H14" s="43" t="s">
        <v>14</v>
      </c>
      <c r="I14" s="43" t="s">
        <v>16</v>
      </c>
      <c r="J14" s="47">
        <v>25</v>
      </c>
      <c r="K14" s="64">
        <f>200</f>
        <v>200</v>
      </c>
      <c r="L14" s="62">
        <f t="shared" si="0"/>
        <v>200</v>
      </c>
      <c r="M14" s="63" t="str">
        <f t="shared" si="1"/>
        <v>OK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50.1" customHeight="1" x14ac:dyDescent="0.25">
      <c r="A15" s="55">
        <v>3</v>
      </c>
      <c r="B15" s="56" t="s">
        <v>82</v>
      </c>
      <c r="C15" s="33">
        <v>12</v>
      </c>
      <c r="D15" s="49" t="s">
        <v>97</v>
      </c>
      <c r="E15" s="32" t="s">
        <v>51</v>
      </c>
      <c r="F15" s="37" t="s">
        <v>52</v>
      </c>
      <c r="G15" s="37" t="s">
        <v>25</v>
      </c>
      <c r="H15" s="37" t="s">
        <v>14</v>
      </c>
      <c r="I15" s="37" t="s">
        <v>15</v>
      </c>
      <c r="J15" s="50">
        <v>50.15</v>
      </c>
      <c r="K15" s="64">
        <f>800</f>
        <v>800</v>
      </c>
      <c r="L15" s="62">
        <f t="shared" si="0"/>
        <v>800</v>
      </c>
      <c r="M15" s="63" t="str">
        <f t="shared" si="1"/>
        <v>OK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65.25" customHeight="1" x14ac:dyDescent="0.25">
      <c r="A16" s="89">
        <v>4</v>
      </c>
      <c r="B16" s="90" t="s">
        <v>83</v>
      </c>
      <c r="C16" s="42">
        <v>13</v>
      </c>
      <c r="D16" s="18" t="s">
        <v>98</v>
      </c>
      <c r="E16" s="20" t="s">
        <v>53</v>
      </c>
      <c r="F16" s="48" t="s">
        <v>54</v>
      </c>
      <c r="G16" s="43" t="s">
        <v>26</v>
      </c>
      <c r="H16" s="43" t="s">
        <v>14</v>
      </c>
      <c r="I16" s="43" t="s">
        <v>15</v>
      </c>
      <c r="J16" s="47">
        <v>90</v>
      </c>
      <c r="K16" s="64">
        <f>200</f>
        <v>200</v>
      </c>
      <c r="L16" s="62">
        <f t="shared" si="0"/>
        <v>200</v>
      </c>
      <c r="M16" s="63" t="str">
        <f t="shared" si="1"/>
        <v>OK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50.1" customHeight="1" x14ac:dyDescent="0.25">
      <c r="A17" s="89"/>
      <c r="B17" s="91"/>
      <c r="C17" s="42">
        <v>14</v>
      </c>
      <c r="D17" s="18" t="s">
        <v>99</v>
      </c>
      <c r="E17" s="20" t="s">
        <v>55</v>
      </c>
      <c r="F17" s="48" t="s">
        <v>54</v>
      </c>
      <c r="G17" s="43" t="s">
        <v>26</v>
      </c>
      <c r="H17" s="43" t="s">
        <v>14</v>
      </c>
      <c r="I17" s="43" t="s">
        <v>15</v>
      </c>
      <c r="J17" s="47">
        <v>60</v>
      </c>
      <c r="K17" s="64">
        <f>0</f>
        <v>0</v>
      </c>
      <c r="L17" s="62">
        <f t="shared" si="0"/>
        <v>0</v>
      </c>
      <c r="M17" s="63" t="str">
        <f t="shared" si="1"/>
        <v>OK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4.25" customHeight="1" x14ac:dyDescent="0.25">
      <c r="A18" s="89"/>
      <c r="B18" s="91"/>
      <c r="C18" s="42">
        <v>15</v>
      </c>
      <c r="D18" s="18" t="s">
        <v>100</v>
      </c>
      <c r="E18" s="20" t="s">
        <v>56</v>
      </c>
      <c r="F18" s="48" t="s">
        <v>54</v>
      </c>
      <c r="G18" s="43" t="s">
        <v>26</v>
      </c>
      <c r="H18" s="43" t="s">
        <v>14</v>
      </c>
      <c r="I18" s="43" t="s">
        <v>15</v>
      </c>
      <c r="J18" s="47">
        <v>236</v>
      </c>
      <c r="K18" s="64">
        <f>0</f>
        <v>0</v>
      </c>
      <c r="L18" s="62">
        <f t="shared" si="0"/>
        <v>0</v>
      </c>
      <c r="M18" s="63" t="str">
        <f t="shared" si="1"/>
        <v>OK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50.1" customHeight="1" x14ac:dyDescent="0.25">
      <c r="A19" s="89"/>
      <c r="B19" s="92"/>
      <c r="C19" s="42">
        <v>16</v>
      </c>
      <c r="D19" s="18" t="s">
        <v>101</v>
      </c>
      <c r="E19" s="20" t="s">
        <v>57</v>
      </c>
      <c r="F19" s="48" t="s">
        <v>54</v>
      </c>
      <c r="G19" s="43" t="s">
        <v>26</v>
      </c>
      <c r="H19" s="43" t="s">
        <v>14</v>
      </c>
      <c r="I19" s="43" t="s">
        <v>15</v>
      </c>
      <c r="J19" s="44">
        <v>238.94</v>
      </c>
      <c r="K19" s="64">
        <f>200</f>
        <v>200</v>
      </c>
      <c r="L19" s="62">
        <f t="shared" si="0"/>
        <v>200</v>
      </c>
      <c r="M19" s="63" t="str">
        <f t="shared" si="1"/>
        <v>OK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50.1" customHeight="1" x14ac:dyDescent="0.25">
      <c r="A20" s="55">
        <v>5</v>
      </c>
      <c r="B20" s="56" t="s">
        <v>84</v>
      </c>
      <c r="C20" s="51">
        <v>17</v>
      </c>
      <c r="D20" s="27" t="s">
        <v>58</v>
      </c>
      <c r="E20" s="28" t="s">
        <v>59</v>
      </c>
      <c r="F20" s="52" t="s">
        <v>54</v>
      </c>
      <c r="G20" s="37" t="s">
        <v>60</v>
      </c>
      <c r="H20" s="37" t="s">
        <v>14</v>
      </c>
      <c r="I20" s="37" t="s">
        <v>15</v>
      </c>
      <c r="J20" s="50">
        <v>79</v>
      </c>
      <c r="K20" s="64">
        <f>200</f>
        <v>200</v>
      </c>
      <c r="L20" s="62">
        <f t="shared" si="0"/>
        <v>200</v>
      </c>
      <c r="M20" s="63" t="str">
        <f t="shared" si="1"/>
        <v>OK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50.1" customHeight="1" x14ac:dyDescent="0.25">
      <c r="A21" s="57">
        <v>6</v>
      </c>
      <c r="B21" s="58" t="s">
        <v>85</v>
      </c>
      <c r="C21" s="42">
        <v>18</v>
      </c>
      <c r="D21" s="18" t="s">
        <v>61</v>
      </c>
      <c r="E21" s="20" t="s">
        <v>62</v>
      </c>
      <c r="F21" s="48" t="s">
        <v>54</v>
      </c>
      <c r="G21" s="43" t="s">
        <v>63</v>
      </c>
      <c r="H21" s="43" t="s">
        <v>14</v>
      </c>
      <c r="I21" s="43" t="s">
        <v>15</v>
      </c>
      <c r="J21" s="44">
        <v>128.33000000000001</v>
      </c>
      <c r="K21" s="64">
        <f>0</f>
        <v>0</v>
      </c>
      <c r="L21" s="62">
        <f t="shared" si="0"/>
        <v>0</v>
      </c>
      <c r="M21" s="63" t="str">
        <f t="shared" si="1"/>
        <v>OK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50.1" customHeight="1" x14ac:dyDescent="0.25">
      <c r="A22" s="55">
        <v>8</v>
      </c>
      <c r="B22" s="56" t="s">
        <v>86</v>
      </c>
      <c r="C22" s="51">
        <v>20</v>
      </c>
      <c r="D22" s="29" t="s">
        <v>64</v>
      </c>
      <c r="E22" s="28" t="s">
        <v>65</v>
      </c>
      <c r="F22" s="28" t="s">
        <v>54</v>
      </c>
      <c r="G22" s="28" t="s">
        <v>66</v>
      </c>
      <c r="H22" s="28" t="s">
        <v>14</v>
      </c>
      <c r="I22" s="28" t="s">
        <v>15</v>
      </c>
      <c r="J22" s="50">
        <v>39.99</v>
      </c>
      <c r="K22" s="64">
        <f>0</f>
        <v>0</v>
      </c>
      <c r="L22" s="62">
        <f t="shared" si="0"/>
        <v>0</v>
      </c>
      <c r="M22" s="63" t="str">
        <f t="shared" si="1"/>
        <v>OK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50.1" customHeight="1" x14ac:dyDescent="0.25">
      <c r="A23" s="57">
        <v>9</v>
      </c>
      <c r="B23" s="58" t="s">
        <v>86</v>
      </c>
      <c r="C23" s="42">
        <v>21</v>
      </c>
      <c r="D23" s="30" t="s">
        <v>67</v>
      </c>
      <c r="E23" s="31" t="s">
        <v>68</v>
      </c>
      <c r="F23" s="31" t="s">
        <v>54</v>
      </c>
      <c r="G23" s="31" t="s">
        <v>66</v>
      </c>
      <c r="H23" s="31" t="s">
        <v>14</v>
      </c>
      <c r="I23" s="31" t="s">
        <v>15</v>
      </c>
      <c r="J23" s="44">
        <v>39.99</v>
      </c>
      <c r="K23" s="64">
        <f>0</f>
        <v>0</v>
      </c>
      <c r="L23" s="62">
        <f t="shared" si="0"/>
        <v>0</v>
      </c>
      <c r="M23" s="63" t="str">
        <f t="shared" si="1"/>
        <v>OK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50.1" customHeight="1" x14ac:dyDescent="0.25">
      <c r="A24" s="55">
        <v>10</v>
      </c>
      <c r="B24" s="56" t="s">
        <v>86</v>
      </c>
      <c r="C24" s="51">
        <v>22</v>
      </c>
      <c r="D24" s="29" t="s">
        <v>69</v>
      </c>
      <c r="E24" s="28" t="s">
        <v>70</v>
      </c>
      <c r="F24" s="28" t="s">
        <v>54</v>
      </c>
      <c r="G24" s="28" t="s">
        <v>71</v>
      </c>
      <c r="H24" s="28" t="s">
        <v>14</v>
      </c>
      <c r="I24" s="28" t="s">
        <v>15</v>
      </c>
      <c r="J24" s="50">
        <v>119.55</v>
      </c>
      <c r="K24" s="64">
        <f>0</f>
        <v>0</v>
      </c>
      <c r="L24" s="62">
        <f t="shared" si="0"/>
        <v>0</v>
      </c>
      <c r="M24" s="63" t="str">
        <f t="shared" si="1"/>
        <v>OK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50.1" customHeight="1" x14ac:dyDescent="0.25">
      <c r="A25" s="57">
        <v>11</v>
      </c>
      <c r="B25" s="58" t="s">
        <v>87</v>
      </c>
      <c r="C25" s="42">
        <v>23</v>
      </c>
      <c r="D25" s="18" t="s">
        <v>35</v>
      </c>
      <c r="E25" s="20" t="s">
        <v>72</v>
      </c>
      <c r="F25" s="48" t="s">
        <v>73</v>
      </c>
      <c r="G25" s="20" t="s">
        <v>74</v>
      </c>
      <c r="H25" s="31" t="s">
        <v>24</v>
      </c>
      <c r="I25" s="31" t="s">
        <v>75</v>
      </c>
      <c r="J25" s="44">
        <v>37.03</v>
      </c>
      <c r="K25" s="64">
        <f>0</f>
        <v>0</v>
      </c>
      <c r="L25" s="62">
        <f t="shared" si="0"/>
        <v>0</v>
      </c>
      <c r="M25" s="63" t="str">
        <f t="shared" si="1"/>
        <v>OK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05" x14ac:dyDescent="0.25">
      <c r="A26" s="55">
        <v>12</v>
      </c>
      <c r="B26" s="59" t="s">
        <v>87</v>
      </c>
      <c r="C26" s="54">
        <v>24</v>
      </c>
      <c r="D26" s="49" t="s">
        <v>76</v>
      </c>
      <c r="E26" s="32" t="s">
        <v>77</v>
      </c>
      <c r="F26" s="52" t="s">
        <v>78</v>
      </c>
      <c r="G26" s="32" t="s">
        <v>79</v>
      </c>
      <c r="H26" s="32" t="s">
        <v>24</v>
      </c>
      <c r="I26" s="32" t="s">
        <v>75</v>
      </c>
      <c r="J26" s="53">
        <v>599.78</v>
      </c>
      <c r="K26" s="64">
        <f>0</f>
        <v>0</v>
      </c>
      <c r="L26" s="62">
        <f t="shared" si="0"/>
        <v>0</v>
      </c>
      <c r="M26" s="63" t="str">
        <f t="shared" si="1"/>
        <v>OK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.75" thickBot="1" x14ac:dyDescent="0.3">
      <c r="N27" s="21">
        <f>SUMPRODUCT($J$4:$J$26,N4:N26)</f>
        <v>0</v>
      </c>
      <c r="O27" s="21">
        <f t="shared" ref="O27:AE27" si="2">SUMPRODUCT($J$4:$J$26,O4:O26)</f>
        <v>0</v>
      </c>
      <c r="P27" s="21">
        <f t="shared" si="2"/>
        <v>0</v>
      </c>
      <c r="Q27" s="21">
        <f t="shared" si="2"/>
        <v>0</v>
      </c>
      <c r="R27" s="21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si="2"/>
        <v>0</v>
      </c>
      <c r="X27" s="21">
        <f t="shared" si="2"/>
        <v>0</v>
      </c>
      <c r="Y27" s="21">
        <f t="shared" si="2"/>
        <v>0</v>
      </c>
      <c r="Z27" s="21">
        <f t="shared" si="2"/>
        <v>0</v>
      </c>
      <c r="AA27" s="21">
        <f t="shared" si="2"/>
        <v>0</v>
      </c>
      <c r="AB27" s="21">
        <f t="shared" si="2"/>
        <v>0</v>
      </c>
      <c r="AC27" s="21">
        <f t="shared" si="2"/>
        <v>0</v>
      </c>
      <c r="AD27" s="21">
        <f t="shared" si="2"/>
        <v>0</v>
      </c>
      <c r="AE27" s="21">
        <f t="shared" si="2"/>
        <v>0</v>
      </c>
    </row>
    <row r="28" spans="1:31" x14ac:dyDescent="0.25">
      <c r="D28" s="24" t="s">
        <v>43</v>
      </c>
    </row>
    <row r="29" spans="1:31" x14ac:dyDescent="0.25">
      <c r="D29" s="60" t="s">
        <v>44</v>
      </c>
    </row>
    <row r="30" spans="1:31" x14ac:dyDescent="0.25">
      <c r="D30" s="25" t="s">
        <v>106</v>
      </c>
    </row>
    <row r="31" spans="1:31" ht="15.75" thickBot="1" x14ac:dyDescent="0.3">
      <c r="D31" s="26" t="s">
        <v>105</v>
      </c>
    </row>
  </sheetData>
  <mergeCells count="28">
    <mergeCell ref="A9:A14"/>
    <mergeCell ref="B9:B14"/>
    <mergeCell ref="A16:A19"/>
    <mergeCell ref="B16:B19"/>
    <mergeCell ref="AC1:AC2"/>
    <mergeCell ref="V1:V2"/>
    <mergeCell ref="A1:C1"/>
    <mergeCell ref="D1:J1"/>
    <mergeCell ref="K1:M1"/>
    <mergeCell ref="N1:N2"/>
    <mergeCell ref="O1:O2"/>
    <mergeCell ref="P1:P2"/>
    <mergeCell ref="AD1:AD2"/>
    <mergeCell ref="AE1:AE2"/>
    <mergeCell ref="A2:M2"/>
    <mergeCell ref="A4:A8"/>
    <mergeCell ref="B4:B8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</mergeCells>
  <conditionalFormatting sqref="N4:AE26">
    <cfRule type="cellIs" dxfId="23" priority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  <cfRule type="cellIs" dxfId="20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1"/>
  <sheetViews>
    <sheetView topLeftCell="A18" zoomScale="80" zoomScaleNormal="80" workbookViewId="0">
      <selection activeCell="K27" sqref="K27"/>
    </sheetView>
  </sheetViews>
  <sheetFormatPr defaultColWidth="9.7109375" defaultRowHeight="15" x14ac:dyDescent="0.25"/>
  <cols>
    <col min="1" max="1" width="7.140625" style="1" customWidth="1"/>
    <col min="2" max="2" width="23.42578125" style="1" customWidth="1"/>
    <col min="3" max="3" width="6" style="12" bestFit="1" customWidth="1"/>
    <col min="4" max="4" width="48.42578125" style="1" customWidth="1"/>
    <col min="5" max="5" width="19" style="1" customWidth="1"/>
    <col min="6" max="6" width="9.28515625" style="1" customWidth="1"/>
    <col min="7" max="7" width="12" style="1" bestFit="1" customWidth="1"/>
    <col min="8" max="8" width="8.85546875" style="1" customWidth="1"/>
    <col min="9" max="9" width="10.140625" style="1" bestFit="1" customWidth="1"/>
    <col min="10" max="10" width="13.42578125" style="16" bestFit="1" customWidth="1"/>
    <col min="11" max="11" width="11.5703125" style="4" customWidth="1"/>
    <col min="12" max="12" width="11" style="13" customWidth="1"/>
    <col min="13" max="13" width="10.85546875" style="5" customWidth="1"/>
    <col min="14" max="14" width="13.85546875" style="4" customWidth="1"/>
    <col min="15" max="15" width="12.7109375" style="4" customWidth="1"/>
    <col min="16" max="16" width="14.85546875" style="4" customWidth="1"/>
    <col min="17" max="17" width="14.140625" style="4" customWidth="1"/>
    <col min="18" max="18" width="15.28515625" style="4" customWidth="1"/>
    <col min="19" max="19" width="15.42578125" style="4" customWidth="1"/>
    <col min="20" max="20" width="17.85546875" style="4" customWidth="1"/>
    <col min="21" max="21" width="14" style="4" customWidth="1"/>
    <col min="22" max="22" width="13.5703125" style="4" customWidth="1"/>
    <col min="23" max="23" width="14.5703125" style="4" customWidth="1"/>
    <col min="24" max="24" width="14" style="4" customWidth="1"/>
    <col min="25" max="25" width="14.28515625" style="4" customWidth="1"/>
    <col min="26" max="31" width="12.7109375" style="2" customWidth="1"/>
    <col min="32" max="16384" width="9.7109375" style="2"/>
  </cols>
  <sheetData>
    <row r="1" spans="1:31" ht="31.7" customHeight="1" x14ac:dyDescent="0.25">
      <c r="A1" s="88" t="s">
        <v>37</v>
      </c>
      <c r="B1" s="88"/>
      <c r="C1" s="88"/>
      <c r="D1" s="88" t="s">
        <v>36</v>
      </c>
      <c r="E1" s="88"/>
      <c r="F1" s="88"/>
      <c r="G1" s="88"/>
      <c r="H1" s="88"/>
      <c r="I1" s="88"/>
      <c r="J1" s="88"/>
      <c r="K1" s="88" t="s">
        <v>38</v>
      </c>
      <c r="L1" s="88"/>
      <c r="M1" s="88"/>
      <c r="N1" s="87" t="s">
        <v>39</v>
      </c>
      <c r="O1" s="87" t="s">
        <v>39</v>
      </c>
      <c r="P1" s="87" t="s">
        <v>39</v>
      </c>
      <c r="Q1" s="87" t="s">
        <v>39</v>
      </c>
      <c r="R1" s="87" t="s">
        <v>39</v>
      </c>
      <c r="S1" s="87" t="s">
        <v>39</v>
      </c>
      <c r="T1" s="87" t="s">
        <v>39</v>
      </c>
      <c r="U1" s="87" t="s">
        <v>39</v>
      </c>
      <c r="V1" s="87" t="s">
        <v>39</v>
      </c>
      <c r="W1" s="87" t="s">
        <v>39</v>
      </c>
      <c r="X1" s="87" t="s">
        <v>39</v>
      </c>
      <c r="Y1" s="87" t="s">
        <v>39</v>
      </c>
      <c r="Z1" s="87" t="s">
        <v>39</v>
      </c>
      <c r="AA1" s="87" t="s">
        <v>39</v>
      </c>
      <c r="AB1" s="87" t="s">
        <v>39</v>
      </c>
      <c r="AC1" s="87" t="s">
        <v>39</v>
      </c>
      <c r="AD1" s="87" t="s">
        <v>39</v>
      </c>
      <c r="AE1" s="87" t="s">
        <v>39</v>
      </c>
    </row>
    <row r="2" spans="1:31" ht="24" customHeight="1" x14ac:dyDescent="0.25">
      <c r="A2" s="88" t="s">
        <v>109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3" customFormat="1" ht="45" x14ac:dyDescent="0.2">
      <c r="A3" s="23" t="s">
        <v>40</v>
      </c>
      <c r="B3" s="23" t="s">
        <v>27</v>
      </c>
      <c r="C3" s="23" t="s">
        <v>3</v>
      </c>
      <c r="D3" s="23" t="s">
        <v>28</v>
      </c>
      <c r="E3" s="23" t="s">
        <v>29</v>
      </c>
      <c r="F3" s="23" t="s">
        <v>42</v>
      </c>
      <c r="G3" s="23" t="s">
        <v>30</v>
      </c>
      <c r="H3" s="23" t="s">
        <v>4</v>
      </c>
      <c r="I3" s="23" t="s">
        <v>31</v>
      </c>
      <c r="J3" s="23" t="s">
        <v>41</v>
      </c>
      <c r="K3" s="10" t="s">
        <v>6</v>
      </c>
      <c r="L3" s="11" t="s">
        <v>0</v>
      </c>
      <c r="M3" s="9" t="s">
        <v>2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9" t="s">
        <v>1</v>
      </c>
      <c r="AD3" s="9" t="s">
        <v>1</v>
      </c>
      <c r="AE3" s="9" t="s">
        <v>1</v>
      </c>
    </row>
    <row r="4" spans="1:31" ht="50.1" customHeight="1" x14ac:dyDescent="0.25">
      <c r="A4" s="93">
        <v>1</v>
      </c>
      <c r="B4" s="94" t="s">
        <v>80</v>
      </c>
      <c r="C4" s="33">
        <v>1</v>
      </c>
      <c r="D4" s="34" t="s">
        <v>88</v>
      </c>
      <c r="E4" s="35" t="s">
        <v>45</v>
      </c>
      <c r="F4" s="36" t="s">
        <v>46</v>
      </c>
      <c r="G4" s="37" t="s">
        <v>17</v>
      </c>
      <c r="H4" s="36" t="s">
        <v>14</v>
      </c>
      <c r="I4" s="36" t="s">
        <v>15</v>
      </c>
      <c r="J4" s="38">
        <v>100</v>
      </c>
      <c r="K4" s="64">
        <f>300</f>
        <v>300</v>
      </c>
      <c r="L4" s="62">
        <f>K4-(SUM(N4:AE4))</f>
        <v>300</v>
      </c>
      <c r="M4" s="63" t="str">
        <f>IF(L4&lt;0,"ATENÇÃO","OK")</f>
        <v>OK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7" customHeight="1" x14ac:dyDescent="0.25">
      <c r="A5" s="93"/>
      <c r="B5" s="95"/>
      <c r="C5" s="33">
        <v>2</v>
      </c>
      <c r="D5" s="39" t="s">
        <v>89</v>
      </c>
      <c r="E5" s="40" t="s">
        <v>47</v>
      </c>
      <c r="F5" s="41" t="s">
        <v>46</v>
      </c>
      <c r="G5" s="37" t="s">
        <v>18</v>
      </c>
      <c r="H5" s="41" t="s">
        <v>14</v>
      </c>
      <c r="I5" s="36" t="s">
        <v>15</v>
      </c>
      <c r="J5" s="38">
        <v>70.44</v>
      </c>
      <c r="K5" s="64">
        <f>50</f>
        <v>50</v>
      </c>
      <c r="L5" s="62">
        <f t="shared" ref="L5:L26" si="0">K5-(SUM(N5:AE5))</f>
        <v>50</v>
      </c>
      <c r="M5" s="63" t="str">
        <f t="shared" ref="M5:M26" si="1">IF(L5&lt;0,"ATENÇÃO","OK")</f>
        <v>OK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50.1" customHeight="1" x14ac:dyDescent="0.25">
      <c r="A6" s="93"/>
      <c r="B6" s="95"/>
      <c r="C6" s="33">
        <v>3</v>
      </c>
      <c r="D6" s="34" t="s">
        <v>90</v>
      </c>
      <c r="E6" s="40" t="s">
        <v>47</v>
      </c>
      <c r="F6" s="36" t="s">
        <v>46</v>
      </c>
      <c r="G6" s="37" t="s">
        <v>20</v>
      </c>
      <c r="H6" s="36" t="s">
        <v>14</v>
      </c>
      <c r="I6" s="36" t="s">
        <v>15</v>
      </c>
      <c r="J6" s="38">
        <v>70.819999999999993</v>
      </c>
      <c r="K6" s="64">
        <f>100</f>
        <v>100</v>
      </c>
      <c r="L6" s="62">
        <f t="shared" si="0"/>
        <v>100</v>
      </c>
      <c r="M6" s="63" t="str">
        <f t="shared" si="1"/>
        <v>OK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50.1" customHeight="1" x14ac:dyDescent="0.25">
      <c r="A7" s="93"/>
      <c r="B7" s="95"/>
      <c r="C7" s="33">
        <v>4</v>
      </c>
      <c r="D7" s="34" t="s">
        <v>91</v>
      </c>
      <c r="E7" s="40" t="s">
        <v>47</v>
      </c>
      <c r="F7" s="36" t="s">
        <v>46</v>
      </c>
      <c r="G7" s="37" t="s">
        <v>21</v>
      </c>
      <c r="H7" s="36" t="s">
        <v>14</v>
      </c>
      <c r="I7" s="36" t="s">
        <v>15</v>
      </c>
      <c r="J7" s="38">
        <v>135.66999999999999</v>
      </c>
      <c r="K7" s="64">
        <f>100</f>
        <v>100</v>
      </c>
      <c r="L7" s="62">
        <f t="shared" si="0"/>
        <v>100</v>
      </c>
      <c r="M7" s="63" t="str">
        <f t="shared" si="1"/>
        <v>OK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50.1" customHeight="1" x14ac:dyDescent="0.25">
      <c r="A8" s="93"/>
      <c r="B8" s="96"/>
      <c r="C8" s="33">
        <v>5</v>
      </c>
      <c r="D8" s="34" t="s">
        <v>92</v>
      </c>
      <c r="E8" s="40" t="s">
        <v>47</v>
      </c>
      <c r="F8" s="36" t="s">
        <v>46</v>
      </c>
      <c r="G8" s="37" t="s">
        <v>22</v>
      </c>
      <c r="H8" s="36" t="s">
        <v>14</v>
      </c>
      <c r="I8" s="36" t="s">
        <v>15</v>
      </c>
      <c r="J8" s="38">
        <v>111.99</v>
      </c>
      <c r="K8" s="64">
        <f>100</f>
        <v>100</v>
      </c>
      <c r="L8" s="62">
        <f t="shared" si="0"/>
        <v>100</v>
      </c>
      <c r="M8" s="63" t="str">
        <f t="shared" si="1"/>
        <v>OK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50.1" customHeight="1" x14ac:dyDescent="0.25">
      <c r="A9" s="89">
        <v>2</v>
      </c>
      <c r="B9" s="90" t="s">
        <v>81</v>
      </c>
      <c r="C9" s="42">
        <v>6</v>
      </c>
      <c r="D9" s="18" t="s">
        <v>93</v>
      </c>
      <c r="E9" s="20" t="s">
        <v>48</v>
      </c>
      <c r="F9" s="43" t="s">
        <v>49</v>
      </c>
      <c r="G9" s="43" t="s">
        <v>19</v>
      </c>
      <c r="H9" s="43" t="s">
        <v>14</v>
      </c>
      <c r="I9" s="43" t="s">
        <v>15</v>
      </c>
      <c r="J9" s="44">
        <v>130</v>
      </c>
      <c r="K9" s="64">
        <f>30</f>
        <v>30</v>
      </c>
      <c r="L9" s="62">
        <f t="shared" si="0"/>
        <v>30</v>
      </c>
      <c r="M9" s="63" t="str">
        <f t="shared" si="1"/>
        <v>OK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50.1" customHeight="1" x14ac:dyDescent="0.25">
      <c r="A10" s="89"/>
      <c r="B10" s="91"/>
      <c r="C10" s="42">
        <v>7</v>
      </c>
      <c r="D10" s="18" t="s">
        <v>94</v>
      </c>
      <c r="E10" s="20" t="s">
        <v>48</v>
      </c>
      <c r="F10" s="43" t="s">
        <v>49</v>
      </c>
      <c r="G10" s="43" t="s">
        <v>19</v>
      </c>
      <c r="H10" s="43" t="s">
        <v>14</v>
      </c>
      <c r="I10" s="43" t="s">
        <v>15</v>
      </c>
      <c r="J10" s="44">
        <v>158</v>
      </c>
      <c r="K10" s="64">
        <f>200</f>
        <v>200</v>
      </c>
      <c r="L10" s="62">
        <f t="shared" si="0"/>
        <v>200</v>
      </c>
      <c r="M10" s="63" t="str">
        <f t="shared" si="1"/>
        <v>OK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50.1" customHeight="1" x14ac:dyDescent="0.25">
      <c r="A11" s="89"/>
      <c r="B11" s="91"/>
      <c r="C11" s="42">
        <v>8</v>
      </c>
      <c r="D11" s="45" t="s">
        <v>95</v>
      </c>
      <c r="E11" s="20" t="s">
        <v>48</v>
      </c>
      <c r="F11" s="43" t="s">
        <v>49</v>
      </c>
      <c r="G11" s="43" t="s">
        <v>23</v>
      </c>
      <c r="H11" s="43" t="s">
        <v>24</v>
      </c>
      <c r="I11" s="46" t="s">
        <v>15</v>
      </c>
      <c r="J11" s="44">
        <v>380</v>
      </c>
      <c r="K11" s="64">
        <f>4</f>
        <v>4</v>
      </c>
      <c r="L11" s="62">
        <f t="shared" si="0"/>
        <v>4</v>
      </c>
      <c r="M11" s="63" t="str">
        <f t="shared" si="1"/>
        <v>OK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50.1" customHeight="1" x14ac:dyDescent="0.25">
      <c r="A12" s="89"/>
      <c r="B12" s="91"/>
      <c r="C12" s="42">
        <v>9</v>
      </c>
      <c r="D12" s="45" t="s">
        <v>96</v>
      </c>
      <c r="E12" s="20" t="s">
        <v>48</v>
      </c>
      <c r="F12" s="43" t="s">
        <v>49</v>
      </c>
      <c r="G12" s="43" t="s">
        <v>23</v>
      </c>
      <c r="H12" s="43" t="s">
        <v>24</v>
      </c>
      <c r="I12" s="46" t="s">
        <v>15</v>
      </c>
      <c r="J12" s="47">
        <v>293.85000000000002</v>
      </c>
      <c r="K12" s="64">
        <f>4</f>
        <v>4</v>
      </c>
      <c r="L12" s="62">
        <f t="shared" si="0"/>
        <v>4</v>
      </c>
      <c r="M12" s="63" t="str">
        <f t="shared" si="1"/>
        <v>OK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34.5" customHeight="1" x14ac:dyDescent="0.25">
      <c r="A13" s="89"/>
      <c r="B13" s="91"/>
      <c r="C13" s="42">
        <v>10</v>
      </c>
      <c r="D13" s="18" t="s">
        <v>33</v>
      </c>
      <c r="E13" s="20" t="s">
        <v>48</v>
      </c>
      <c r="F13" s="48" t="s">
        <v>50</v>
      </c>
      <c r="G13" s="43" t="s">
        <v>32</v>
      </c>
      <c r="H13" s="43" t="s">
        <v>14</v>
      </c>
      <c r="I13" s="43" t="s">
        <v>16</v>
      </c>
      <c r="J13" s="47">
        <v>24</v>
      </c>
      <c r="K13" s="64">
        <f>30</f>
        <v>30</v>
      </c>
      <c r="L13" s="62">
        <f t="shared" si="0"/>
        <v>30</v>
      </c>
      <c r="M13" s="63" t="str">
        <f t="shared" si="1"/>
        <v>OK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39.75" customHeight="1" x14ac:dyDescent="0.25">
      <c r="A14" s="89"/>
      <c r="B14" s="92"/>
      <c r="C14" s="42">
        <v>11</v>
      </c>
      <c r="D14" s="18" t="s">
        <v>34</v>
      </c>
      <c r="E14" s="20" t="s">
        <v>48</v>
      </c>
      <c r="F14" s="48" t="s">
        <v>50</v>
      </c>
      <c r="G14" s="43" t="s">
        <v>32</v>
      </c>
      <c r="H14" s="43" t="s">
        <v>14</v>
      </c>
      <c r="I14" s="43" t="s">
        <v>16</v>
      </c>
      <c r="J14" s="47">
        <v>25</v>
      </c>
      <c r="K14" s="64">
        <f>30</f>
        <v>30</v>
      </c>
      <c r="L14" s="62">
        <f t="shared" si="0"/>
        <v>30</v>
      </c>
      <c r="M14" s="63" t="str">
        <f t="shared" si="1"/>
        <v>OK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50.1" customHeight="1" x14ac:dyDescent="0.25">
      <c r="A15" s="55">
        <v>3</v>
      </c>
      <c r="B15" s="56" t="s">
        <v>82</v>
      </c>
      <c r="C15" s="33">
        <v>12</v>
      </c>
      <c r="D15" s="49" t="s">
        <v>97</v>
      </c>
      <c r="E15" s="32" t="s">
        <v>51</v>
      </c>
      <c r="F15" s="37" t="s">
        <v>52</v>
      </c>
      <c r="G15" s="37" t="s">
        <v>25</v>
      </c>
      <c r="H15" s="37" t="s">
        <v>14</v>
      </c>
      <c r="I15" s="37" t="s">
        <v>15</v>
      </c>
      <c r="J15" s="50">
        <v>50.15</v>
      </c>
      <c r="K15" s="64">
        <f>50</f>
        <v>50</v>
      </c>
      <c r="L15" s="62">
        <f t="shared" si="0"/>
        <v>50</v>
      </c>
      <c r="M15" s="63" t="str">
        <f t="shared" si="1"/>
        <v>OK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65.25" customHeight="1" x14ac:dyDescent="0.25">
      <c r="A16" s="89">
        <v>4</v>
      </c>
      <c r="B16" s="90" t="s">
        <v>83</v>
      </c>
      <c r="C16" s="42">
        <v>13</v>
      </c>
      <c r="D16" s="18" t="s">
        <v>98</v>
      </c>
      <c r="E16" s="20" t="s">
        <v>53</v>
      </c>
      <c r="F16" s="48" t="s">
        <v>54</v>
      </c>
      <c r="G16" s="43" t="s">
        <v>26</v>
      </c>
      <c r="H16" s="43" t="s">
        <v>14</v>
      </c>
      <c r="I16" s="43" t="s">
        <v>15</v>
      </c>
      <c r="J16" s="47">
        <v>90</v>
      </c>
      <c r="K16" s="64">
        <f>100</f>
        <v>100</v>
      </c>
      <c r="L16" s="62">
        <f t="shared" si="0"/>
        <v>100</v>
      </c>
      <c r="M16" s="63" t="str">
        <f t="shared" si="1"/>
        <v>OK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50.1" customHeight="1" x14ac:dyDescent="0.25">
      <c r="A17" s="89"/>
      <c r="B17" s="91"/>
      <c r="C17" s="42">
        <v>14</v>
      </c>
      <c r="D17" s="18" t="s">
        <v>99</v>
      </c>
      <c r="E17" s="20" t="s">
        <v>55</v>
      </c>
      <c r="F17" s="48" t="s">
        <v>54</v>
      </c>
      <c r="G17" s="43" t="s">
        <v>26</v>
      </c>
      <c r="H17" s="43" t="s">
        <v>14</v>
      </c>
      <c r="I17" s="43" t="s">
        <v>15</v>
      </c>
      <c r="J17" s="47">
        <v>60</v>
      </c>
      <c r="K17" s="64">
        <f>100</f>
        <v>100</v>
      </c>
      <c r="L17" s="62">
        <f t="shared" si="0"/>
        <v>100</v>
      </c>
      <c r="M17" s="63" t="str">
        <f t="shared" si="1"/>
        <v>OK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4.25" customHeight="1" x14ac:dyDescent="0.25">
      <c r="A18" s="89"/>
      <c r="B18" s="91"/>
      <c r="C18" s="42">
        <v>15</v>
      </c>
      <c r="D18" s="18" t="s">
        <v>100</v>
      </c>
      <c r="E18" s="20" t="s">
        <v>56</v>
      </c>
      <c r="F18" s="48" t="s">
        <v>54</v>
      </c>
      <c r="G18" s="43" t="s">
        <v>26</v>
      </c>
      <c r="H18" s="43" t="s">
        <v>14</v>
      </c>
      <c r="I18" s="43" t="s">
        <v>15</v>
      </c>
      <c r="J18" s="47">
        <v>236</v>
      </c>
      <c r="K18" s="64">
        <f>50</f>
        <v>50</v>
      </c>
      <c r="L18" s="62">
        <f t="shared" si="0"/>
        <v>50</v>
      </c>
      <c r="M18" s="63" t="str">
        <f t="shared" si="1"/>
        <v>OK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50.1" customHeight="1" x14ac:dyDescent="0.25">
      <c r="A19" s="89"/>
      <c r="B19" s="92"/>
      <c r="C19" s="42">
        <v>16</v>
      </c>
      <c r="D19" s="18" t="s">
        <v>101</v>
      </c>
      <c r="E19" s="20" t="s">
        <v>57</v>
      </c>
      <c r="F19" s="48" t="s">
        <v>54</v>
      </c>
      <c r="G19" s="43" t="s">
        <v>26</v>
      </c>
      <c r="H19" s="43" t="s">
        <v>14</v>
      </c>
      <c r="I19" s="43" t="s">
        <v>15</v>
      </c>
      <c r="J19" s="44">
        <v>238.94</v>
      </c>
      <c r="K19" s="64">
        <f>50</f>
        <v>50</v>
      </c>
      <c r="L19" s="62">
        <f t="shared" si="0"/>
        <v>50</v>
      </c>
      <c r="M19" s="63" t="str">
        <f t="shared" si="1"/>
        <v>OK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50.1" customHeight="1" x14ac:dyDescent="0.25">
      <c r="A20" s="55">
        <v>5</v>
      </c>
      <c r="B20" s="56" t="s">
        <v>84</v>
      </c>
      <c r="C20" s="51">
        <v>17</v>
      </c>
      <c r="D20" s="27" t="s">
        <v>58</v>
      </c>
      <c r="E20" s="28" t="s">
        <v>59</v>
      </c>
      <c r="F20" s="52" t="s">
        <v>54</v>
      </c>
      <c r="G20" s="37" t="s">
        <v>60</v>
      </c>
      <c r="H20" s="37" t="s">
        <v>14</v>
      </c>
      <c r="I20" s="37" t="s">
        <v>15</v>
      </c>
      <c r="J20" s="50">
        <v>79</v>
      </c>
      <c r="K20" s="64">
        <f>0</f>
        <v>0</v>
      </c>
      <c r="L20" s="62">
        <f t="shared" si="0"/>
        <v>0</v>
      </c>
      <c r="M20" s="63" t="str">
        <f t="shared" si="1"/>
        <v>OK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50.1" customHeight="1" x14ac:dyDescent="0.25">
      <c r="A21" s="57">
        <v>6</v>
      </c>
      <c r="B21" s="58" t="s">
        <v>85</v>
      </c>
      <c r="C21" s="42">
        <v>18</v>
      </c>
      <c r="D21" s="18" t="s">
        <v>61</v>
      </c>
      <c r="E21" s="20" t="s">
        <v>62</v>
      </c>
      <c r="F21" s="48" t="s">
        <v>54</v>
      </c>
      <c r="G21" s="43" t="s">
        <v>63</v>
      </c>
      <c r="H21" s="43" t="s">
        <v>14</v>
      </c>
      <c r="I21" s="43" t="s">
        <v>15</v>
      </c>
      <c r="J21" s="44">
        <v>128.33000000000001</v>
      </c>
      <c r="K21" s="64">
        <f>0</f>
        <v>0</v>
      </c>
      <c r="L21" s="62">
        <f t="shared" si="0"/>
        <v>0</v>
      </c>
      <c r="M21" s="63" t="str">
        <f t="shared" si="1"/>
        <v>OK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50.1" customHeight="1" x14ac:dyDescent="0.25">
      <c r="A22" s="55">
        <v>8</v>
      </c>
      <c r="B22" s="56" t="s">
        <v>86</v>
      </c>
      <c r="C22" s="51">
        <v>20</v>
      </c>
      <c r="D22" s="29" t="s">
        <v>64</v>
      </c>
      <c r="E22" s="28" t="s">
        <v>65</v>
      </c>
      <c r="F22" s="28" t="s">
        <v>54</v>
      </c>
      <c r="G22" s="28" t="s">
        <v>66</v>
      </c>
      <c r="H22" s="28" t="s">
        <v>14</v>
      </c>
      <c r="I22" s="28" t="s">
        <v>15</v>
      </c>
      <c r="J22" s="50">
        <v>39.99</v>
      </c>
      <c r="K22" s="64">
        <f>0</f>
        <v>0</v>
      </c>
      <c r="L22" s="62">
        <f t="shared" si="0"/>
        <v>0</v>
      </c>
      <c r="M22" s="63" t="str">
        <f t="shared" si="1"/>
        <v>OK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50.1" customHeight="1" x14ac:dyDescent="0.25">
      <c r="A23" s="57">
        <v>9</v>
      </c>
      <c r="B23" s="58" t="s">
        <v>86</v>
      </c>
      <c r="C23" s="42">
        <v>21</v>
      </c>
      <c r="D23" s="30" t="s">
        <v>67</v>
      </c>
      <c r="E23" s="31" t="s">
        <v>68</v>
      </c>
      <c r="F23" s="31" t="s">
        <v>54</v>
      </c>
      <c r="G23" s="31" t="s">
        <v>66</v>
      </c>
      <c r="H23" s="31" t="s">
        <v>14</v>
      </c>
      <c r="I23" s="31" t="s">
        <v>15</v>
      </c>
      <c r="J23" s="44">
        <v>39.99</v>
      </c>
      <c r="K23" s="64">
        <f>0</f>
        <v>0</v>
      </c>
      <c r="L23" s="62">
        <f t="shared" si="0"/>
        <v>0</v>
      </c>
      <c r="M23" s="63" t="str">
        <f t="shared" si="1"/>
        <v>OK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50.1" customHeight="1" x14ac:dyDescent="0.25">
      <c r="A24" s="55">
        <v>10</v>
      </c>
      <c r="B24" s="56" t="s">
        <v>86</v>
      </c>
      <c r="C24" s="51">
        <v>22</v>
      </c>
      <c r="D24" s="29" t="s">
        <v>69</v>
      </c>
      <c r="E24" s="28" t="s">
        <v>70</v>
      </c>
      <c r="F24" s="28" t="s">
        <v>54</v>
      </c>
      <c r="G24" s="28" t="s">
        <v>71</v>
      </c>
      <c r="H24" s="28" t="s">
        <v>14</v>
      </c>
      <c r="I24" s="28" t="s">
        <v>15</v>
      </c>
      <c r="J24" s="50">
        <v>119.55</v>
      </c>
      <c r="K24" s="64">
        <f>0</f>
        <v>0</v>
      </c>
      <c r="L24" s="62">
        <f t="shared" si="0"/>
        <v>0</v>
      </c>
      <c r="M24" s="63" t="str">
        <f t="shared" si="1"/>
        <v>OK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50.1" customHeight="1" x14ac:dyDescent="0.25">
      <c r="A25" s="57">
        <v>11</v>
      </c>
      <c r="B25" s="58" t="s">
        <v>87</v>
      </c>
      <c r="C25" s="42">
        <v>23</v>
      </c>
      <c r="D25" s="18" t="s">
        <v>35</v>
      </c>
      <c r="E25" s="20" t="s">
        <v>72</v>
      </c>
      <c r="F25" s="48" t="s">
        <v>73</v>
      </c>
      <c r="G25" s="20" t="s">
        <v>74</v>
      </c>
      <c r="H25" s="31" t="s">
        <v>24</v>
      </c>
      <c r="I25" s="31" t="s">
        <v>75</v>
      </c>
      <c r="J25" s="44">
        <v>37.03</v>
      </c>
      <c r="K25" s="64">
        <f>0</f>
        <v>0</v>
      </c>
      <c r="L25" s="62">
        <f t="shared" si="0"/>
        <v>0</v>
      </c>
      <c r="M25" s="63" t="str">
        <f t="shared" si="1"/>
        <v>OK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05" x14ac:dyDescent="0.25">
      <c r="A26" s="55">
        <v>12</v>
      </c>
      <c r="B26" s="59" t="s">
        <v>87</v>
      </c>
      <c r="C26" s="54">
        <v>24</v>
      </c>
      <c r="D26" s="49" t="s">
        <v>76</v>
      </c>
      <c r="E26" s="32" t="s">
        <v>77</v>
      </c>
      <c r="F26" s="52" t="s">
        <v>78</v>
      </c>
      <c r="G26" s="32" t="s">
        <v>79</v>
      </c>
      <c r="H26" s="32" t="s">
        <v>24</v>
      </c>
      <c r="I26" s="32" t="s">
        <v>75</v>
      </c>
      <c r="J26" s="53">
        <v>599.78</v>
      </c>
      <c r="K26" s="64">
        <f>0</f>
        <v>0</v>
      </c>
      <c r="L26" s="62">
        <f t="shared" si="0"/>
        <v>0</v>
      </c>
      <c r="M26" s="63" t="str">
        <f t="shared" si="1"/>
        <v>OK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.75" thickBot="1" x14ac:dyDescent="0.3">
      <c r="N27" s="21">
        <f>SUMPRODUCT($J$4:$J$26,N4:N26)</f>
        <v>0</v>
      </c>
      <c r="O27" s="21">
        <f t="shared" ref="O27:AE27" si="2">SUMPRODUCT($J$4:$J$26,O4:O26)</f>
        <v>0</v>
      </c>
      <c r="P27" s="21">
        <f t="shared" si="2"/>
        <v>0</v>
      </c>
      <c r="Q27" s="21">
        <f t="shared" si="2"/>
        <v>0</v>
      </c>
      <c r="R27" s="21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si="2"/>
        <v>0</v>
      </c>
      <c r="X27" s="21">
        <f t="shared" si="2"/>
        <v>0</v>
      </c>
      <c r="Y27" s="21">
        <f t="shared" si="2"/>
        <v>0</v>
      </c>
      <c r="Z27" s="21">
        <f t="shared" si="2"/>
        <v>0</v>
      </c>
      <c r="AA27" s="21">
        <f t="shared" si="2"/>
        <v>0</v>
      </c>
      <c r="AB27" s="21">
        <f t="shared" si="2"/>
        <v>0</v>
      </c>
      <c r="AC27" s="21">
        <f t="shared" si="2"/>
        <v>0</v>
      </c>
      <c r="AD27" s="21">
        <f t="shared" si="2"/>
        <v>0</v>
      </c>
      <c r="AE27" s="21">
        <f t="shared" si="2"/>
        <v>0</v>
      </c>
    </row>
    <row r="28" spans="1:31" x14ac:dyDescent="0.25">
      <c r="D28" s="24" t="s">
        <v>43</v>
      </c>
    </row>
    <row r="29" spans="1:31" x14ac:dyDescent="0.25">
      <c r="D29" s="60" t="s">
        <v>44</v>
      </c>
    </row>
    <row r="30" spans="1:31" x14ac:dyDescent="0.25">
      <c r="D30" s="25" t="s">
        <v>106</v>
      </c>
    </row>
    <row r="31" spans="1:31" ht="15.75" thickBot="1" x14ac:dyDescent="0.3">
      <c r="D31" s="26" t="s">
        <v>105</v>
      </c>
    </row>
  </sheetData>
  <mergeCells count="28">
    <mergeCell ref="A9:A14"/>
    <mergeCell ref="B9:B14"/>
    <mergeCell ref="A16:A19"/>
    <mergeCell ref="B16:B19"/>
    <mergeCell ref="AC1:AC2"/>
    <mergeCell ref="V1:V2"/>
    <mergeCell ref="A1:C1"/>
    <mergeCell ref="D1:J1"/>
    <mergeCell ref="K1:M1"/>
    <mergeCell ref="N1:N2"/>
    <mergeCell ref="O1:O2"/>
    <mergeCell ref="P1:P2"/>
    <mergeCell ref="AD1:AD2"/>
    <mergeCell ref="AE1:AE2"/>
    <mergeCell ref="A2:M2"/>
    <mergeCell ref="A4:A8"/>
    <mergeCell ref="B4:B8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</mergeCells>
  <conditionalFormatting sqref="N4:AE26">
    <cfRule type="cellIs" dxfId="19" priority="1" operator="greaterThan">
      <formula>0</formula>
    </cfRule>
    <cfRule type="cellIs" dxfId="18" priority="2" stopIfTrue="1" operator="greaterThan">
      <formula>0</formula>
    </cfRule>
    <cfRule type="cellIs" dxfId="17" priority="3" stopIfTrue="1" operator="greaterThan">
      <formula>0</formula>
    </cfRule>
    <cfRule type="cellIs" dxfId="16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1"/>
  <sheetViews>
    <sheetView topLeftCell="A13" zoomScale="80" zoomScaleNormal="80" workbookViewId="0">
      <selection activeCell="K27" sqref="K27"/>
    </sheetView>
  </sheetViews>
  <sheetFormatPr defaultColWidth="9.7109375" defaultRowHeight="15" x14ac:dyDescent="0.25"/>
  <cols>
    <col min="1" max="1" width="7.140625" style="1" customWidth="1"/>
    <col min="2" max="2" width="23.42578125" style="1" customWidth="1"/>
    <col min="3" max="3" width="6" style="12" bestFit="1" customWidth="1"/>
    <col min="4" max="4" width="48.42578125" style="1" customWidth="1"/>
    <col min="5" max="5" width="19" style="1" customWidth="1"/>
    <col min="6" max="6" width="9.28515625" style="1" customWidth="1"/>
    <col min="7" max="7" width="12" style="1" bestFit="1" customWidth="1"/>
    <col min="8" max="8" width="8.85546875" style="1" customWidth="1"/>
    <col min="9" max="9" width="10.140625" style="1" bestFit="1" customWidth="1"/>
    <col min="10" max="10" width="13.42578125" style="16" bestFit="1" customWidth="1"/>
    <col min="11" max="11" width="11.5703125" style="4" customWidth="1"/>
    <col min="12" max="12" width="11" style="13" customWidth="1"/>
    <col min="13" max="13" width="10.85546875" style="5" customWidth="1"/>
    <col min="14" max="14" width="13.85546875" style="4" customWidth="1"/>
    <col min="15" max="15" width="12.7109375" style="4" customWidth="1"/>
    <col min="16" max="16" width="14.85546875" style="4" customWidth="1"/>
    <col min="17" max="17" width="14.140625" style="4" customWidth="1"/>
    <col min="18" max="18" width="15.28515625" style="4" customWidth="1"/>
    <col min="19" max="19" width="15.42578125" style="4" customWidth="1"/>
    <col min="20" max="20" width="17.85546875" style="4" customWidth="1"/>
    <col min="21" max="21" width="14" style="4" customWidth="1"/>
    <col min="22" max="22" width="13.5703125" style="4" customWidth="1"/>
    <col min="23" max="23" width="14.5703125" style="4" customWidth="1"/>
    <col min="24" max="24" width="14" style="4" customWidth="1"/>
    <col min="25" max="25" width="14.28515625" style="4" customWidth="1"/>
    <col min="26" max="31" width="12.7109375" style="2" customWidth="1"/>
    <col min="32" max="16384" width="9.7109375" style="2"/>
  </cols>
  <sheetData>
    <row r="1" spans="1:31" ht="31.7" customHeight="1" x14ac:dyDescent="0.25">
      <c r="A1" s="88" t="s">
        <v>37</v>
      </c>
      <c r="B1" s="88"/>
      <c r="C1" s="88"/>
      <c r="D1" s="88" t="s">
        <v>36</v>
      </c>
      <c r="E1" s="88"/>
      <c r="F1" s="88"/>
      <c r="G1" s="88"/>
      <c r="H1" s="88"/>
      <c r="I1" s="88"/>
      <c r="J1" s="88"/>
      <c r="K1" s="88" t="s">
        <v>38</v>
      </c>
      <c r="L1" s="88"/>
      <c r="M1" s="88"/>
      <c r="N1" s="87" t="s">
        <v>39</v>
      </c>
      <c r="O1" s="87" t="s">
        <v>39</v>
      </c>
      <c r="P1" s="87" t="s">
        <v>39</v>
      </c>
      <c r="Q1" s="87" t="s">
        <v>39</v>
      </c>
      <c r="R1" s="87" t="s">
        <v>39</v>
      </c>
      <c r="S1" s="87" t="s">
        <v>39</v>
      </c>
      <c r="T1" s="87" t="s">
        <v>39</v>
      </c>
      <c r="U1" s="87" t="s">
        <v>39</v>
      </c>
      <c r="V1" s="87" t="s">
        <v>39</v>
      </c>
      <c r="W1" s="87" t="s">
        <v>39</v>
      </c>
      <c r="X1" s="87" t="s">
        <v>39</v>
      </c>
      <c r="Y1" s="87" t="s">
        <v>39</v>
      </c>
      <c r="Z1" s="87" t="s">
        <v>39</v>
      </c>
      <c r="AA1" s="87" t="s">
        <v>39</v>
      </c>
      <c r="AB1" s="87" t="s">
        <v>39</v>
      </c>
      <c r="AC1" s="87" t="s">
        <v>39</v>
      </c>
      <c r="AD1" s="87" t="s">
        <v>39</v>
      </c>
      <c r="AE1" s="87" t="s">
        <v>39</v>
      </c>
    </row>
    <row r="2" spans="1:31" ht="24" customHeight="1" x14ac:dyDescent="0.25">
      <c r="A2" s="88" t="s">
        <v>110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3" customFormat="1" ht="45" x14ac:dyDescent="0.2">
      <c r="A3" s="23" t="s">
        <v>40</v>
      </c>
      <c r="B3" s="23" t="s">
        <v>27</v>
      </c>
      <c r="C3" s="23" t="s">
        <v>3</v>
      </c>
      <c r="D3" s="23" t="s">
        <v>28</v>
      </c>
      <c r="E3" s="23" t="s">
        <v>29</v>
      </c>
      <c r="F3" s="23" t="s">
        <v>42</v>
      </c>
      <c r="G3" s="23" t="s">
        <v>30</v>
      </c>
      <c r="H3" s="23" t="s">
        <v>4</v>
      </c>
      <c r="I3" s="23" t="s">
        <v>31</v>
      </c>
      <c r="J3" s="23" t="s">
        <v>41</v>
      </c>
      <c r="K3" s="10" t="s">
        <v>6</v>
      </c>
      <c r="L3" s="11" t="s">
        <v>0</v>
      </c>
      <c r="M3" s="9" t="s">
        <v>2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9" t="s">
        <v>1</v>
      </c>
      <c r="AD3" s="9" t="s">
        <v>1</v>
      </c>
      <c r="AE3" s="9" t="s">
        <v>1</v>
      </c>
    </row>
    <row r="4" spans="1:31" ht="50.1" customHeight="1" x14ac:dyDescent="0.25">
      <c r="A4" s="93">
        <v>1</v>
      </c>
      <c r="B4" s="94" t="s">
        <v>80</v>
      </c>
      <c r="C4" s="33">
        <v>1</v>
      </c>
      <c r="D4" s="34" t="s">
        <v>88</v>
      </c>
      <c r="E4" s="35" t="s">
        <v>45</v>
      </c>
      <c r="F4" s="36" t="s">
        <v>46</v>
      </c>
      <c r="G4" s="37" t="s">
        <v>17</v>
      </c>
      <c r="H4" s="36" t="s">
        <v>14</v>
      </c>
      <c r="I4" s="36" t="s">
        <v>15</v>
      </c>
      <c r="J4" s="38">
        <v>100</v>
      </c>
      <c r="K4" s="64">
        <f>35</f>
        <v>35</v>
      </c>
      <c r="L4" s="62">
        <f>K4-(SUM(N4:AE4))</f>
        <v>35</v>
      </c>
      <c r="M4" s="63" t="str">
        <f>IF(L4&lt;0,"ATENÇÃO","OK")</f>
        <v>OK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7" customHeight="1" x14ac:dyDescent="0.25">
      <c r="A5" s="93"/>
      <c r="B5" s="95"/>
      <c r="C5" s="33">
        <v>2</v>
      </c>
      <c r="D5" s="39" t="s">
        <v>89</v>
      </c>
      <c r="E5" s="40" t="s">
        <v>47</v>
      </c>
      <c r="F5" s="41" t="s">
        <v>46</v>
      </c>
      <c r="G5" s="37" t="s">
        <v>18</v>
      </c>
      <c r="H5" s="41" t="s">
        <v>14</v>
      </c>
      <c r="I5" s="36" t="s">
        <v>15</v>
      </c>
      <c r="J5" s="38">
        <v>70.44</v>
      </c>
      <c r="K5" s="64">
        <f>0</f>
        <v>0</v>
      </c>
      <c r="L5" s="62">
        <f t="shared" ref="L5:L26" si="0">K5-(SUM(N5:AE5))</f>
        <v>0</v>
      </c>
      <c r="M5" s="63" t="str">
        <f t="shared" ref="M5:M26" si="1">IF(L5&lt;0,"ATENÇÃO","OK")</f>
        <v>OK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50.1" customHeight="1" x14ac:dyDescent="0.25">
      <c r="A6" s="93"/>
      <c r="B6" s="95"/>
      <c r="C6" s="33">
        <v>3</v>
      </c>
      <c r="D6" s="34" t="s">
        <v>90</v>
      </c>
      <c r="E6" s="40" t="s">
        <v>47</v>
      </c>
      <c r="F6" s="36" t="s">
        <v>46</v>
      </c>
      <c r="G6" s="37" t="s">
        <v>20</v>
      </c>
      <c r="H6" s="36" t="s">
        <v>14</v>
      </c>
      <c r="I6" s="36" t="s">
        <v>15</v>
      </c>
      <c r="J6" s="38">
        <v>70.819999999999993</v>
      </c>
      <c r="K6" s="64">
        <f>20</f>
        <v>20</v>
      </c>
      <c r="L6" s="62">
        <f t="shared" si="0"/>
        <v>20</v>
      </c>
      <c r="M6" s="63" t="str">
        <f t="shared" si="1"/>
        <v>OK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50.1" customHeight="1" x14ac:dyDescent="0.25">
      <c r="A7" s="93"/>
      <c r="B7" s="95"/>
      <c r="C7" s="33">
        <v>4</v>
      </c>
      <c r="D7" s="34" t="s">
        <v>91</v>
      </c>
      <c r="E7" s="40" t="s">
        <v>47</v>
      </c>
      <c r="F7" s="36" t="s">
        <v>46</v>
      </c>
      <c r="G7" s="37" t="s">
        <v>21</v>
      </c>
      <c r="H7" s="36" t="s">
        <v>14</v>
      </c>
      <c r="I7" s="36" t="s">
        <v>15</v>
      </c>
      <c r="J7" s="38">
        <v>135.66999999999999</v>
      </c>
      <c r="K7" s="64">
        <f>60</f>
        <v>60</v>
      </c>
      <c r="L7" s="62">
        <f t="shared" si="0"/>
        <v>60</v>
      </c>
      <c r="M7" s="63" t="str">
        <f t="shared" si="1"/>
        <v>OK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50.1" customHeight="1" x14ac:dyDescent="0.25">
      <c r="A8" s="93"/>
      <c r="B8" s="96"/>
      <c r="C8" s="33">
        <v>5</v>
      </c>
      <c r="D8" s="34" t="s">
        <v>92</v>
      </c>
      <c r="E8" s="40" t="s">
        <v>47</v>
      </c>
      <c r="F8" s="36" t="s">
        <v>46</v>
      </c>
      <c r="G8" s="37" t="s">
        <v>22</v>
      </c>
      <c r="H8" s="36" t="s">
        <v>14</v>
      </c>
      <c r="I8" s="36" t="s">
        <v>15</v>
      </c>
      <c r="J8" s="38">
        <v>111.99</v>
      </c>
      <c r="K8" s="64">
        <f>80</f>
        <v>80</v>
      </c>
      <c r="L8" s="62">
        <f t="shared" si="0"/>
        <v>80</v>
      </c>
      <c r="M8" s="63" t="str">
        <f t="shared" si="1"/>
        <v>OK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50.1" customHeight="1" x14ac:dyDescent="0.25">
      <c r="A9" s="89">
        <v>2</v>
      </c>
      <c r="B9" s="90" t="s">
        <v>81</v>
      </c>
      <c r="C9" s="42">
        <v>6</v>
      </c>
      <c r="D9" s="18" t="s">
        <v>93</v>
      </c>
      <c r="E9" s="20" t="s">
        <v>48</v>
      </c>
      <c r="F9" s="43" t="s">
        <v>49</v>
      </c>
      <c r="G9" s="43" t="s">
        <v>19</v>
      </c>
      <c r="H9" s="43" t="s">
        <v>14</v>
      </c>
      <c r="I9" s="43" t="s">
        <v>15</v>
      </c>
      <c r="J9" s="44">
        <v>130</v>
      </c>
      <c r="K9" s="64">
        <f>150</f>
        <v>150</v>
      </c>
      <c r="L9" s="62">
        <f t="shared" si="0"/>
        <v>150</v>
      </c>
      <c r="M9" s="63" t="str">
        <f t="shared" si="1"/>
        <v>OK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50.1" customHeight="1" x14ac:dyDescent="0.25">
      <c r="A10" s="89"/>
      <c r="B10" s="91"/>
      <c r="C10" s="42">
        <v>7</v>
      </c>
      <c r="D10" s="18" t="s">
        <v>94</v>
      </c>
      <c r="E10" s="20" t="s">
        <v>48</v>
      </c>
      <c r="F10" s="43" t="s">
        <v>49</v>
      </c>
      <c r="G10" s="43" t="s">
        <v>19</v>
      </c>
      <c r="H10" s="43" t="s">
        <v>14</v>
      </c>
      <c r="I10" s="43" t="s">
        <v>15</v>
      </c>
      <c r="J10" s="44">
        <v>158</v>
      </c>
      <c r="K10" s="64">
        <f>50</f>
        <v>50</v>
      </c>
      <c r="L10" s="62">
        <f t="shared" si="0"/>
        <v>50</v>
      </c>
      <c r="M10" s="63" t="str">
        <f t="shared" si="1"/>
        <v>OK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50.1" customHeight="1" x14ac:dyDescent="0.25">
      <c r="A11" s="89"/>
      <c r="B11" s="91"/>
      <c r="C11" s="42">
        <v>8</v>
      </c>
      <c r="D11" s="45" t="s">
        <v>95</v>
      </c>
      <c r="E11" s="20" t="s">
        <v>48</v>
      </c>
      <c r="F11" s="43" t="s">
        <v>49</v>
      </c>
      <c r="G11" s="43" t="s">
        <v>23</v>
      </c>
      <c r="H11" s="43" t="s">
        <v>24</v>
      </c>
      <c r="I11" s="46" t="s">
        <v>15</v>
      </c>
      <c r="J11" s="44">
        <v>380</v>
      </c>
      <c r="K11" s="64">
        <f>15</f>
        <v>15</v>
      </c>
      <c r="L11" s="62">
        <f t="shared" si="0"/>
        <v>15</v>
      </c>
      <c r="M11" s="63" t="str">
        <f t="shared" si="1"/>
        <v>OK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50.1" customHeight="1" x14ac:dyDescent="0.25">
      <c r="A12" s="89"/>
      <c r="B12" s="91"/>
      <c r="C12" s="42">
        <v>9</v>
      </c>
      <c r="D12" s="45" t="s">
        <v>96</v>
      </c>
      <c r="E12" s="20" t="s">
        <v>48</v>
      </c>
      <c r="F12" s="43" t="s">
        <v>49</v>
      </c>
      <c r="G12" s="43" t="s">
        <v>23</v>
      </c>
      <c r="H12" s="43" t="s">
        <v>24</v>
      </c>
      <c r="I12" s="46" t="s">
        <v>15</v>
      </c>
      <c r="J12" s="47">
        <v>293.85000000000002</v>
      </c>
      <c r="K12" s="64">
        <f>10</f>
        <v>10</v>
      </c>
      <c r="L12" s="62">
        <f t="shared" si="0"/>
        <v>10</v>
      </c>
      <c r="M12" s="63" t="str">
        <f t="shared" si="1"/>
        <v>OK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34.5" customHeight="1" x14ac:dyDescent="0.25">
      <c r="A13" s="89"/>
      <c r="B13" s="91"/>
      <c r="C13" s="42">
        <v>10</v>
      </c>
      <c r="D13" s="18" t="s">
        <v>33</v>
      </c>
      <c r="E13" s="20" t="s">
        <v>48</v>
      </c>
      <c r="F13" s="48" t="s">
        <v>50</v>
      </c>
      <c r="G13" s="43" t="s">
        <v>32</v>
      </c>
      <c r="H13" s="43" t="s">
        <v>14</v>
      </c>
      <c r="I13" s="43" t="s">
        <v>16</v>
      </c>
      <c r="J13" s="47">
        <v>24</v>
      </c>
      <c r="K13" s="64">
        <f>100</f>
        <v>100</v>
      </c>
      <c r="L13" s="62">
        <f t="shared" si="0"/>
        <v>100</v>
      </c>
      <c r="M13" s="63" t="str">
        <f t="shared" si="1"/>
        <v>OK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39.75" customHeight="1" x14ac:dyDescent="0.25">
      <c r="A14" s="89"/>
      <c r="B14" s="92"/>
      <c r="C14" s="42">
        <v>11</v>
      </c>
      <c r="D14" s="18" t="s">
        <v>34</v>
      </c>
      <c r="E14" s="20" t="s">
        <v>48</v>
      </c>
      <c r="F14" s="48" t="s">
        <v>50</v>
      </c>
      <c r="G14" s="43" t="s">
        <v>32</v>
      </c>
      <c r="H14" s="43" t="s">
        <v>14</v>
      </c>
      <c r="I14" s="43" t="s">
        <v>16</v>
      </c>
      <c r="J14" s="47">
        <v>25</v>
      </c>
      <c r="K14" s="64">
        <f>150</f>
        <v>150</v>
      </c>
      <c r="L14" s="62">
        <f t="shared" si="0"/>
        <v>150</v>
      </c>
      <c r="M14" s="63" t="str">
        <f t="shared" si="1"/>
        <v>OK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50.1" customHeight="1" x14ac:dyDescent="0.25">
      <c r="A15" s="55">
        <v>3</v>
      </c>
      <c r="B15" s="56" t="s">
        <v>82</v>
      </c>
      <c r="C15" s="33">
        <v>12</v>
      </c>
      <c r="D15" s="49" t="s">
        <v>97</v>
      </c>
      <c r="E15" s="32" t="s">
        <v>51</v>
      </c>
      <c r="F15" s="37" t="s">
        <v>52</v>
      </c>
      <c r="G15" s="37" t="s">
        <v>25</v>
      </c>
      <c r="H15" s="37" t="s">
        <v>14</v>
      </c>
      <c r="I15" s="37" t="s">
        <v>15</v>
      </c>
      <c r="J15" s="50">
        <v>50.15</v>
      </c>
      <c r="K15" s="64">
        <f>50</f>
        <v>50</v>
      </c>
      <c r="L15" s="62">
        <f t="shared" si="0"/>
        <v>50</v>
      </c>
      <c r="M15" s="63" t="str">
        <f t="shared" si="1"/>
        <v>OK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65.25" customHeight="1" x14ac:dyDescent="0.25">
      <c r="A16" s="89">
        <v>4</v>
      </c>
      <c r="B16" s="90" t="s">
        <v>83</v>
      </c>
      <c r="C16" s="42">
        <v>13</v>
      </c>
      <c r="D16" s="18" t="s">
        <v>98</v>
      </c>
      <c r="E16" s="20" t="s">
        <v>53</v>
      </c>
      <c r="F16" s="48" t="s">
        <v>54</v>
      </c>
      <c r="G16" s="43" t="s">
        <v>26</v>
      </c>
      <c r="H16" s="43" t="s">
        <v>14</v>
      </c>
      <c r="I16" s="43" t="s">
        <v>15</v>
      </c>
      <c r="J16" s="47">
        <v>90</v>
      </c>
      <c r="K16" s="64">
        <f>180</f>
        <v>180</v>
      </c>
      <c r="L16" s="62">
        <f t="shared" si="0"/>
        <v>180</v>
      </c>
      <c r="M16" s="63" t="str">
        <f t="shared" si="1"/>
        <v>OK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50.1" customHeight="1" x14ac:dyDescent="0.25">
      <c r="A17" s="89"/>
      <c r="B17" s="91"/>
      <c r="C17" s="42">
        <v>14</v>
      </c>
      <c r="D17" s="18" t="s">
        <v>99</v>
      </c>
      <c r="E17" s="20" t="s">
        <v>55</v>
      </c>
      <c r="F17" s="48" t="s">
        <v>54</v>
      </c>
      <c r="G17" s="43" t="s">
        <v>26</v>
      </c>
      <c r="H17" s="43" t="s">
        <v>14</v>
      </c>
      <c r="I17" s="43" t="s">
        <v>15</v>
      </c>
      <c r="J17" s="47">
        <v>60</v>
      </c>
      <c r="K17" s="64">
        <f>70</f>
        <v>70</v>
      </c>
      <c r="L17" s="62">
        <f t="shared" si="0"/>
        <v>70</v>
      </c>
      <c r="M17" s="63" t="str">
        <f t="shared" si="1"/>
        <v>OK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4.25" customHeight="1" x14ac:dyDescent="0.25">
      <c r="A18" s="89"/>
      <c r="B18" s="91"/>
      <c r="C18" s="42">
        <v>15</v>
      </c>
      <c r="D18" s="18" t="s">
        <v>100</v>
      </c>
      <c r="E18" s="20" t="s">
        <v>56</v>
      </c>
      <c r="F18" s="48" t="s">
        <v>54</v>
      </c>
      <c r="G18" s="43" t="s">
        <v>26</v>
      </c>
      <c r="H18" s="43" t="s">
        <v>14</v>
      </c>
      <c r="I18" s="43" t="s">
        <v>15</v>
      </c>
      <c r="J18" s="47">
        <v>236</v>
      </c>
      <c r="K18" s="64">
        <f>40</f>
        <v>40</v>
      </c>
      <c r="L18" s="62">
        <f t="shared" si="0"/>
        <v>40</v>
      </c>
      <c r="M18" s="63" t="str">
        <f t="shared" si="1"/>
        <v>OK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50.1" customHeight="1" x14ac:dyDescent="0.25">
      <c r="A19" s="89"/>
      <c r="B19" s="92"/>
      <c r="C19" s="42">
        <v>16</v>
      </c>
      <c r="D19" s="18" t="s">
        <v>101</v>
      </c>
      <c r="E19" s="20" t="s">
        <v>57</v>
      </c>
      <c r="F19" s="48" t="s">
        <v>54</v>
      </c>
      <c r="G19" s="43" t="s">
        <v>26</v>
      </c>
      <c r="H19" s="43" t="s">
        <v>14</v>
      </c>
      <c r="I19" s="43" t="s">
        <v>15</v>
      </c>
      <c r="J19" s="44">
        <v>238.94</v>
      </c>
      <c r="K19" s="64">
        <f>40</f>
        <v>40</v>
      </c>
      <c r="L19" s="62">
        <f t="shared" si="0"/>
        <v>40</v>
      </c>
      <c r="M19" s="63" t="str">
        <f t="shared" si="1"/>
        <v>OK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50.1" customHeight="1" x14ac:dyDescent="0.25">
      <c r="A20" s="55">
        <v>5</v>
      </c>
      <c r="B20" s="56" t="s">
        <v>84</v>
      </c>
      <c r="C20" s="51">
        <v>17</v>
      </c>
      <c r="D20" s="27" t="s">
        <v>58</v>
      </c>
      <c r="E20" s="28" t="s">
        <v>59</v>
      </c>
      <c r="F20" s="52" t="s">
        <v>54</v>
      </c>
      <c r="G20" s="37" t="s">
        <v>60</v>
      </c>
      <c r="H20" s="37" t="s">
        <v>14</v>
      </c>
      <c r="I20" s="37" t="s">
        <v>15</v>
      </c>
      <c r="J20" s="50">
        <v>79</v>
      </c>
      <c r="K20" s="64">
        <f>0</f>
        <v>0</v>
      </c>
      <c r="L20" s="62">
        <f t="shared" si="0"/>
        <v>0</v>
      </c>
      <c r="M20" s="63" t="str">
        <f t="shared" si="1"/>
        <v>OK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50.1" customHeight="1" x14ac:dyDescent="0.25">
      <c r="A21" s="57">
        <v>6</v>
      </c>
      <c r="B21" s="58" t="s">
        <v>85</v>
      </c>
      <c r="C21" s="42">
        <v>18</v>
      </c>
      <c r="D21" s="18" t="s">
        <v>61</v>
      </c>
      <c r="E21" s="20" t="s">
        <v>62</v>
      </c>
      <c r="F21" s="48" t="s">
        <v>54</v>
      </c>
      <c r="G21" s="43" t="s">
        <v>63</v>
      </c>
      <c r="H21" s="43" t="s">
        <v>14</v>
      </c>
      <c r="I21" s="43" t="s">
        <v>15</v>
      </c>
      <c r="J21" s="44">
        <v>128.33000000000001</v>
      </c>
      <c r="K21" s="64">
        <f>0</f>
        <v>0</v>
      </c>
      <c r="L21" s="62">
        <f t="shared" si="0"/>
        <v>0</v>
      </c>
      <c r="M21" s="63" t="str">
        <f t="shared" si="1"/>
        <v>OK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50.1" customHeight="1" x14ac:dyDescent="0.25">
      <c r="A22" s="55">
        <v>8</v>
      </c>
      <c r="B22" s="56" t="s">
        <v>86</v>
      </c>
      <c r="C22" s="51">
        <v>20</v>
      </c>
      <c r="D22" s="29" t="s">
        <v>64</v>
      </c>
      <c r="E22" s="28" t="s">
        <v>65</v>
      </c>
      <c r="F22" s="28" t="s">
        <v>54</v>
      </c>
      <c r="G22" s="28" t="s">
        <v>66</v>
      </c>
      <c r="H22" s="28" t="s">
        <v>14</v>
      </c>
      <c r="I22" s="28" t="s">
        <v>15</v>
      </c>
      <c r="J22" s="50">
        <v>39.99</v>
      </c>
      <c r="K22" s="64">
        <f>0</f>
        <v>0</v>
      </c>
      <c r="L22" s="62">
        <f t="shared" si="0"/>
        <v>0</v>
      </c>
      <c r="M22" s="63" t="str">
        <f t="shared" si="1"/>
        <v>OK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50.1" customHeight="1" x14ac:dyDescent="0.25">
      <c r="A23" s="57">
        <v>9</v>
      </c>
      <c r="B23" s="58" t="s">
        <v>86</v>
      </c>
      <c r="C23" s="42">
        <v>21</v>
      </c>
      <c r="D23" s="30" t="s">
        <v>67</v>
      </c>
      <c r="E23" s="31" t="s">
        <v>68</v>
      </c>
      <c r="F23" s="31" t="s">
        <v>54</v>
      </c>
      <c r="G23" s="31" t="s">
        <v>66</v>
      </c>
      <c r="H23" s="31" t="s">
        <v>14</v>
      </c>
      <c r="I23" s="31" t="s">
        <v>15</v>
      </c>
      <c r="J23" s="44">
        <v>39.99</v>
      </c>
      <c r="K23" s="64">
        <f>0</f>
        <v>0</v>
      </c>
      <c r="L23" s="62">
        <f t="shared" si="0"/>
        <v>0</v>
      </c>
      <c r="M23" s="63" t="str">
        <f t="shared" si="1"/>
        <v>OK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50.1" customHeight="1" x14ac:dyDescent="0.25">
      <c r="A24" s="55">
        <v>10</v>
      </c>
      <c r="B24" s="56" t="s">
        <v>86</v>
      </c>
      <c r="C24" s="51">
        <v>22</v>
      </c>
      <c r="D24" s="29" t="s">
        <v>69</v>
      </c>
      <c r="E24" s="28" t="s">
        <v>70</v>
      </c>
      <c r="F24" s="28" t="s">
        <v>54</v>
      </c>
      <c r="G24" s="28" t="s">
        <v>71</v>
      </c>
      <c r="H24" s="28" t="s">
        <v>14</v>
      </c>
      <c r="I24" s="28" t="s">
        <v>15</v>
      </c>
      <c r="J24" s="50">
        <v>119.55</v>
      </c>
      <c r="K24" s="64">
        <f>0</f>
        <v>0</v>
      </c>
      <c r="L24" s="62">
        <f t="shared" si="0"/>
        <v>0</v>
      </c>
      <c r="M24" s="63" t="str">
        <f t="shared" si="1"/>
        <v>OK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50.1" customHeight="1" x14ac:dyDescent="0.25">
      <c r="A25" s="57">
        <v>11</v>
      </c>
      <c r="B25" s="58" t="s">
        <v>87</v>
      </c>
      <c r="C25" s="42">
        <v>23</v>
      </c>
      <c r="D25" s="18" t="s">
        <v>35</v>
      </c>
      <c r="E25" s="20" t="s">
        <v>72</v>
      </c>
      <c r="F25" s="48" t="s">
        <v>73</v>
      </c>
      <c r="G25" s="20" t="s">
        <v>74</v>
      </c>
      <c r="H25" s="31" t="s">
        <v>24</v>
      </c>
      <c r="I25" s="31" t="s">
        <v>75</v>
      </c>
      <c r="J25" s="44">
        <v>37.03</v>
      </c>
      <c r="K25" s="64">
        <f>0</f>
        <v>0</v>
      </c>
      <c r="L25" s="62">
        <f t="shared" si="0"/>
        <v>0</v>
      </c>
      <c r="M25" s="63" t="str">
        <f t="shared" si="1"/>
        <v>OK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05" x14ac:dyDescent="0.25">
      <c r="A26" s="55">
        <v>12</v>
      </c>
      <c r="B26" s="59" t="s">
        <v>87</v>
      </c>
      <c r="C26" s="54">
        <v>24</v>
      </c>
      <c r="D26" s="49" t="s">
        <v>76</v>
      </c>
      <c r="E26" s="32" t="s">
        <v>77</v>
      </c>
      <c r="F26" s="52" t="s">
        <v>78</v>
      </c>
      <c r="G26" s="32" t="s">
        <v>79</v>
      </c>
      <c r="H26" s="32" t="s">
        <v>24</v>
      </c>
      <c r="I26" s="32" t="s">
        <v>75</v>
      </c>
      <c r="J26" s="53">
        <v>599.78</v>
      </c>
      <c r="K26" s="64">
        <f>0</f>
        <v>0</v>
      </c>
      <c r="L26" s="62">
        <f t="shared" si="0"/>
        <v>0</v>
      </c>
      <c r="M26" s="63" t="str">
        <f t="shared" si="1"/>
        <v>OK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.75" thickBot="1" x14ac:dyDescent="0.3">
      <c r="N27" s="21">
        <f>SUMPRODUCT($J$4:$J$26,N4:N26)</f>
        <v>0</v>
      </c>
      <c r="O27" s="21">
        <f t="shared" ref="O27:AE27" si="2">SUMPRODUCT($J$4:$J$26,O4:O26)</f>
        <v>0</v>
      </c>
      <c r="P27" s="21">
        <f t="shared" si="2"/>
        <v>0</v>
      </c>
      <c r="Q27" s="21">
        <f t="shared" si="2"/>
        <v>0</v>
      </c>
      <c r="R27" s="21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si="2"/>
        <v>0</v>
      </c>
      <c r="X27" s="21">
        <f t="shared" si="2"/>
        <v>0</v>
      </c>
      <c r="Y27" s="21">
        <f t="shared" si="2"/>
        <v>0</v>
      </c>
      <c r="Z27" s="21">
        <f t="shared" si="2"/>
        <v>0</v>
      </c>
      <c r="AA27" s="21">
        <f t="shared" si="2"/>
        <v>0</v>
      </c>
      <c r="AB27" s="21">
        <f t="shared" si="2"/>
        <v>0</v>
      </c>
      <c r="AC27" s="21">
        <f t="shared" si="2"/>
        <v>0</v>
      </c>
      <c r="AD27" s="21">
        <f t="shared" si="2"/>
        <v>0</v>
      </c>
      <c r="AE27" s="21">
        <f t="shared" si="2"/>
        <v>0</v>
      </c>
    </row>
    <row r="28" spans="1:31" x14ac:dyDescent="0.25">
      <c r="D28" s="24" t="s">
        <v>43</v>
      </c>
    </row>
    <row r="29" spans="1:31" x14ac:dyDescent="0.25">
      <c r="D29" s="60" t="s">
        <v>44</v>
      </c>
    </row>
    <row r="30" spans="1:31" x14ac:dyDescent="0.25">
      <c r="D30" s="25" t="s">
        <v>106</v>
      </c>
    </row>
    <row r="31" spans="1:31" ht="15.75" thickBot="1" x14ac:dyDescent="0.3">
      <c r="D31" s="26" t="s">
        <v>105</v>
      </c>
    </row>
  </sheetData>
  <mergeCells count="28">
    <mergeCell ref="A9:A14"/>
    <mergeCell ref="B9:B14"/>
    <mergeCell ref="A16:A19"/>
    <mergeCell ref="B16:B19"/>
    <mergeCell ref="AC1:AC2"/>
    <mergeCell ref="V1:V2"/>
    <mergeCell ref="A1:C1"/>
    <mergeCell ref="D1:J1"/>
    <mergeCell ref="K1:M1"/>
    <mergeCell ref="N1:N2"/>
    <mergeCell ref="O1:O2"/>
    <mergeCell ref="P1:P2"/>
    <mergeCell ref="AD1:AD2"/>
    <mergeCell ref="AE1:AE2"/>
    <mergeCell ref="A2:M2"/>
    <mergeCell ref="A4:A8"/>
    <mergeCell ref="B4:B8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</mergeCells>
  <conditionalFormatting sqref="N4:AE26">
    <cfRule type="cellIs" dxfId="15" priority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  <cfRule type="cellIs" dxfId="12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31"/>
  <sheetViews>
    <sheetView topLeftCell="A16" zoomScale="80" zoomScaleNormal="80" workbookViewId="0">
      <selection activeCell="K27" sqref="K27"/>
    </sheetView>
  </sheetViews>
  <sheetFormatPr defaultColWidth="9.7109375" defaultRowHeight="15" x14ac:dyDescent="0.25"/>
  <cols>
    <col min="1" max="1" width="7.140625" style="1" customWidth="1"/>
    <col min="2" max="2" width="23.42578125" style="1" customWidth="1"/>
    <col min="3" max="3" width="6" style="12" bestFit="1" customWidth="1"/>
    <col min="4" max="4" width="48.42578125" style="1" customWidth="1"/>
    <col min="5" max="5" width="19" style="1" customWidth="1"/>
    <col min="6" max="6" width="9.28515625" style="1" customWidth="1"/>
    <col min="7" max="7" width="12" style="1" bestFit="1" customWidth="1"/>
    <col min="8" max="8" width="8.85546875" style="1" customWidth="1"/>
    <col min="9" max="9" width="10.140625" style="1" bestFit="1" customWidth="1"/>
    <col min="10" max="10" width="13.42578125" style="16" bestFit="1" customWidth="1"/>
    <col min="11" max="11" width="11.5703125" style="4" customWidth="1"/>
    <col min="12" max="12" width="11" style="13" customWidth="1"/>
    <col min="13" max="13" width="10.85546875" style="5" customWidth="1"/>
    <col min="14" max="14" width="13.85546875" style="4" customWidth="1"/>
    <col min="15" max="15" width="12.7109375" style="4" customWidth="1"/>
    <col min="16" max="16" width="14.85546875" style="4" customWidth="1"/>
    <col min="17" max="17" width="14.140625" style="4" customWidth="1"/>
    <col min="18" max="18" width="15.28515625" style="4" customWidth="1"/>
    <col min="19" max="19" width="15.42578125" style="4" customWidth="1"/>
    <col min="20" max="20" width="17.85546875" style="4" customWidth="1"/>
    <col min="21" max="21" width="14" style="4" customWidth="1"/>
    <col min="22" max="22" width="13.5703125" style="4" customWidth="1"/>
    <col min="23" max="23" width="14.5703125" style="4" customWidth="1"/>
    <col min="24" max="24" width="14" style="4" customWidth="1"/>
    <col min="25" max="25" width="14.28515625" style="4" customWidth="1"/>
    <col min="26" max="31" width="12.7109375" style="2" customWidth="1"/>
    <col min="32" max="16384" width="9.7109375" style="2"/>
  </cols>
  <sheetData>
    <row r="1" spans="1:31" ht="31.7" customHeight="1" x14ac:dyDescent="0.25">
      <c r="A1" s="88" t="s">
        <v>37</v>
      </c>
      <c r="B1" s="88"/>
      <c r="C1" s="88"/>
      <c r="D1" s="88" t="s">
        <v>36</v>
      </c>
      <c r="E1" s="88"/>
      <c r="F1" s="88"/>
      <c r="G1" s="88"/>
      <c r="H1" s="88"/>
      <c r="I1" s="88"/>
      <c r="J1" s="88"/>
      <c r="K1" s="88" t="s">
        <v>38</v>
      </c>
      <c r="L1" s="88"/>
      <c r="M1" s="88"/>
      <c r="N1" s="87" t="s">
        <v>39</v>
      </c>
      <c r="O1" s="87" t="s">
        <v>39</v>
      </c>
      <c r="P1" s="87" t="s">
        <v>39</v>
      </c>
      <c r="Q1" s="87" t="s">
        <v>39</v>
      </c>
      <c r="R1" s="87" t="s">
        <v>39</v>
      </c>
      <c r="S1" s="87" t="s">
        <v>39</v>
      </c>
      <c r="T1" s="87" t="s">
        <v>39</v>
      </c>
      <c r="U1" s="87" t="s">
        <v>39</v>
      </c>
      <c r="V1" s="87" t="s">
        <v>39</v>
      </c>
      <c r="W1" s="87" t="s">
        <v>39</v>
      </c>
      <c r="X1" s="87" t="s">
        <v>39</v>
      </c>
      <c r="Y1" s="87" t="s">
        <v>39</v>
      </c>
      <c r="Z1" s="87" t="s">
        <v>39</v>
      </c>
      <c r="AA1" s="87" t="s">
        <v>39</v>
      </c>
      <c r="AB1" s="87" t="s">
        <v>39</v>
      </c>
      <c r="AC1" s="87" t="s">
        <v>39</v>
      </c>
      <c r="AD1" s="87" t="s">
        <v>39</v>
      </c>
      <c r="AE1" s="87" t="s">
        <v>39</v>
      </c>
    </row>
    <row r="2" spans="1:31" ht="24" customHeight="1" x14ac:dyDescent="0.25">
      <c r="A2" s="88" t="s">
        <v>111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3" customFormat="1" ht="45" x14ac:dyDescent="0.2">
      <c r="A3" s="23" t="s">
        <v>40</v>
      </c>
      <c r="B3" s="23" t="s">
        <v>27</v>
      </c>
      <c r="C3" s="23" t="s">
        <v>3</v>
      </c>
      <c r="D3" s="23" t="s">
        <v>28</v>
      </c>
      <c r="E3" s="23" t="s">
        <v>29</v>
      </c>
      <c r="F3" s="23" t="s">
        <v>42</v>
      </c>
      <c r="G3" s="23" t="s">
        <v>30</v>
      </c>
      <c r="H3" s="23" t="s">
        <v>4</v>
      </c>
      <c r="I3" s="23" t="s">
        <v>31</v>
      </c>
      <c r="J3" s="23" t="s">
        <v>41</v>
      </c>
      <c r="K3" s="10" t="s">
        <v>6</v>
      </c>
      <c r="L3" s="11" t="s">
        <v>0</v>
      </c>
      <c r="M3" s="9" t="s">
        <v>2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9" t="s">
        <v>1</v>
      </c>
      <c r="AD3" s="9" t="s">
        <v>1</v>
      </c>
      <c r="AE3" s="9" t="s">
        <v>1</v>
      </c>
    </row>
    <row r="4" spans="1:31" ht="50.1" customHeight="1" x14ac:dyDescent="0.25">
      <c r="A4" s="93">
        <v>1</v>
      </c>
      <c r="B4" s="94" t="s">
        <v>80</v>
      </c>
      <c r="C4" s="33">
        <v>1</v>
      </c>
      <c r="D4" s="34" t="s">
        <v>88</v>
      </c>
      <c r="E4" s="35" t="s">
        <v>45</v>
      </c>
      <c r="F4" s="36" t="s">
        <v>46</v>
      </c>
      <c r="G4" s="37" t="s">
        <v>17</v>
      </c>
      <c r="H4" s="36" t="s">
        <v>14</v>
      </c>
      <c r="I4" s="36" t="s">
        <v>15</v>
      </c>
      <c r="J4" s="38">
        <v>100</v>
      </c>
      <c r="K4" s="64">
        <f>0</f>
        <v>0</v>
      </c>
      <c r="L4" s="62">
        <f>K4-(SUM(N4:AE4))</f>
        <v>0</v>
      </c>
      <c r="M4" s="63" t="str">
        <f>IF(L4&lt;0,"ATENÇÃO","OK")</f>
        <v>OK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7" customHeight="1" x14ac:dyDescent="0.25">
      <c r="A5" s="93"/>
      <c r="B5" s="95"/>
      <c r="C5" s="33">
        <v>2</v>
      </c>
      <c r="D5" s="39" t="s">
        <v>89</v>
      </c>
      <c r="E5" s="40" t="s">
        <v>47</v>
      </c>
      <c r="F5" s="41" t="s">
        <v>46</v>
      </c>
      <c r="G5" s="37" t="s">
        <v>18</v>
      </c>
      <c r="H5" s="41" t="s">
        <v>14</v>
      </c>
      <c r="I5" s="36" t="s">
        <v>15</v>
      </c>
      <c r="J5" s="38">
        <v>70.44</v>
      </c>
      <c r="K5" s="64">
        <f>0</f>
        <v>0</v>
      </c>
      <c r="L5" s="62">
        <f t="shared" ref="L5:L26" si="0">K5-(SUM(N5:AE5))</f>
        <v>0</v>
      </c>
      <c r="M5" s="63" t="str">
        <f t="shared" ref="M5:M26" si="1">IF(L5&lt;0,"ATENÇÃO","OK")</f>
        <v>OK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50.1" customHeight="1" x14ac:dyDescent="0.25">
      <c r="A6" s="93"/>
      <c r="B6" s="95"/>
      <c r="C6" s="33">
        <v>3</v>
      </c>
      <c r="D6" s="34" t="s">
        <v>90</v>
      </c>
      <c r="E6" s="40" t="s">
        <v>47</v>
      </c>
      <c r="F6" s="36" t="s">
        <v>46</v>
      </c>
      <c r="G6" s="37" t="s">
        <v>20</v>
      </c>
      <c r="H6" s="36" t="s">
        <v>14</v>
      </c>
      <c r="I6" s="36" t="s">
        <v>15</v>
      </c>
      <c r="J6" s="38">
        <v>70.819999999999993</v>
      </c>
      <c r="K6" s="64">
        <f>0</f>
        <v>0</v>
      </c>
      <c r="L6" s="62">
        <f t="shared" si="0"/>
        <v>0</v>
      </c>
      <c r="M6" s="63" t="str">
        <f t="shared" si="1"/>
        <v>OK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50.1" customHeight="1" x14ac:dyDescent="0.25">
      <c r="A7" s="93"/>
      <c r="B7" s="95"/>
      <c r="C7" s="33">
        <v>4</v>
      </c>
      <c r="D7" s="34" t="s">
        <v>91</v>
      </c>
      <c r="E7" s="40" t="s">
        <v>47</v>
      </c>
      <c r="F7" s="36" t="s">
        <v>46</v>
      </c>
      <c r="G7" s="37" t="s">
        <v>21</v>
      </c>
      <c r="H7" s="36" t="s">
        <v>14</v>
      </c>
      <c r="I7" s="36" t="s">
        <v>15</v>
      </c>
      <c r="J7" s="38">
        <v>135.66999999999999</v>
      </c>
      <c r="K7" s="64">
        <f>20</f>
        <v>20</v>
      </c>
      <c r="L7" s="62">
        <f t="shared" si="0"/>
        <v>20</v>
      </c>
      <c r="M7" s="63" t="str">
        <f t="shared" si="1"/>
        <v>OK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50.1" customHeight="1" x14ac:dyDescent="0.25">
      <c r="A8" s="93"/>
      <c r="B8" s="96"/>
      <c r="C8" s="33">
        <v>5</v>
      </c>
      <c r="D8" s="34" t="s">
        <v>92</v>
      </c>
      <c r="E8" s="40" t="s">
        <v>47</v>
      </c>
      <c r="F8" s="36" t="s">
        <v>46</v>
      </c>
      <c r="G8" s="37" t="s">
        <v>22</v>
      </c>
      <c r="H8" s="36" t="s">
        <v>14</v>
      </c>
      <c r="I8" s="36" t="s">
        <v>15</v>
      </c>
      <c r="J8" s="38">
        <v>111.99</v>
      </c>
      <c r="K8" s="64">
        <f>0</f>
        <v>0</v>
      </c>
      <c r="L8" s="62">
        <f t="shared" si="0"/>
        <v>0</v>
      </c>
      <c r="M8" s="63" t="str">
        <f t="shared" si="1"/>
        <v>OK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50.1" customHeight="1" x14ac:dyDescent="0.25">
      <c r="A9" s="89">
        <v>2</v>
      </c>
      <c r="B9" s="90" t="s">
        <v>81</v>
      </c>
      <c r="C9" s="42">
        <v>6</v>
      </c>
      <c r="D9" s="18" t="s">
        <v>93</v>
      </c>
      <c r="E9" s="20" t="s">
        <v>48</v>
      </c>
      <c r="F9" s="43" t="s">
        <v>49</v>
      </c>
      <c r="G9" s="43" t="s">
        <v>19</v>
      </c>
      <c r="H9" s="43" t="s">
        <v>14</v>
      </c>
      <c r="I9" s="43" t="s">
        <v>15</v>
      </c>
      <c r="J9" s="44">
        <v>130</v>
      </c>
      <c r="K9" s="64">
        <f>0</f>
        <v>0</v>
      </c>
      <c r="L9" s="62">
        <f t="shared" si="0"/>
        <v>0</v>
      </c>
      <c r="M9" s="63" t="str">
        <f t="shared" si="1"/>
        <v>OK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50.1" customHeight="1" x14ac:dyDescent="0.25">
      <c r="A10" s="89"/>
      <c r="B10" s="91"/>
      <c r="C10" s="42">
        <v>7</v>
      </c>
      <c r="D10" s="18" t="s">
        <v>94</v>
      </c>
      <c r="E10" s="20" t="s">
        <v>48</v>
      </c>
      <c r="F10" s="43" t="s">
        <v>49</v>
      </c>
      <c r="G10" s="43" t="s">
        <v>19</v>
      </c>
      <c r="H10" s="43" t="s">
        <v>14</v>
      </c>
      <c r="I10" s="43" t="s">
        <v>15</v>
      </c>
      <c r="J10" s="44">
        <v>158</v>
      </c>
      <c r="K10" s="64">
        <f>0</f>
        <v>0</v>
      </c>
      <c r="L10" s="62">
        <f t="shared" si="0"/>
        <v>0</v>
      </c>
      <c r="M10" s="63" t="str">
        <f t="shared" si="1"/>
        <v>OK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50.1" customHeight="1" x14ac:dyDescent="0.25">
      <c r="A11" s="89"/>
      <c r="B11" s="91"/>
      <c r="C11" s="42">
        <v>8</v>
      </c>
      <c r="D11" s="45" t="s">
        <v>95</v>
      </c>
      <c r="E11" s="20" t="s">
        <v>48</v>
      </c>
      <c r="F11" s="43" t="s">
        <v>49</v>
      </c>
      <c r="G11" s="43" t="s">
        <v>23</v>
      </c>
      <c r="H11" s="43" t="s">
        <v>24</v>
      </c>
      <c r="I11" s="46" t="s">
        <v>15</v>
      </c>
      <c r="J11" s="44">
        <v>380</v>
      </c>
      <c r="K11" s="64">
        <f>0</f>
        <v>0</v>
      </c>
      <c r="L11" s="62">
        <f t="shared" si="0"/>
        <v>0</v>
      </c>
      <c r="M11" s="63" t="str">
        <f t="shared" si="1"/>
        <v>OK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50.1" customHeight="1" x14ac:dyDescent="0.25">
      <c r="A12" s="89"/>
      <c r="B12" s="91"/>
      <c r="C12" s="42">
        <v>9</v>
      </c>
      <c r="D12" s="45" t="s">
        <v>96</v>
      </c>
      <c r="E12" s="20" t="s">
        <v>48</v>
      </c>
      <c r="F12" s="43" t="s">
        <v>49</v>
      </c>
      <c r="G12" s="43" t="s">
        <v>23</v>
      </c>
      <c r="H12" s="43" t="s">
        <v>24</v>
      </c>
      <c r="I12" s="46" t="s">
        <v>15</v>
      </c>
      <c r="J12" s="47">
        <v>293.85000000000002</v>
      </c>
      <c r="K12" s="64">
        <f>0</f>
        <v>0</v>
      </c>
      <c r="L12" s="62">
        <f t="shared" si="0"/>
        <v>0</v>
      </c>
      <c r="M12" s="63" t="str">
        <f t="shared" si="1"/>
        <v>OK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34.5" customHeight="1" x14ac:dyDescent="0.25">
      <c r="A13" s="89"/>
      <c r="B13" s="91"/>
      <c r="C13" s="42">
        <v>10</v>
      </c>
      <c r="D13" s="18" t="s">
        <v>33</v>
      </c>
      <c r="E13" s="20" t="s">
        <v>48</v>
      </c>
      <c r="F13" s="48" t="s">
        <v>50</v>
      </c>
      <c r="G13" s="43" t="s">
        <v>32</v>
      </c>
      <c r="H13" s="43" t="s">
        <v>14</v>
      </c>
      <c r="I13" s="43" t="s">
        <v>16</v>
      </c>
      <c r="J13" s="47">
        <v>24</v>
      </c>
      <c r="K13" s="64">
        <f>0</f>
        <v>0</v>
      </c>
      <c r="L13" s="62">
        <f t="shared" si="0"/>
        <v>0</v>
      </c>
      <c r="M13" s="63" t="str">
        <f t="shared" si="1"/>
        <v>OK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39.75" customHeight="1" x14ac:dyDescent="0.25">
      <c r="A14" s="89"/>
      <c r="B14" s="92"/>
      <c r="C14" s="42">
        <v>11</v>
      </c>
      <c r="D14" s="18" t="s">
        <v>34</v>
      </c>
      <c r="E14" s="20" t="s">
        <v>48</v>
      </c>
      <c r="F14" s="48" t="s">
        <v>50</v>
      </c>
      <c r="G14" s="43" t="s">
        <v>32</v>
      </c>
      <c r="H14" s="43" t="s">
        <v>14</v>
      </c>
      <c r="I14" s="43" t="s">
        <v>16</v>
      </c>
      <c r="J14" s="47">
        <v>25</v>
      </c>
      <c r="K14" s="64">
        <f>0</f>
        <v>0</v>
      </c>
      <c r="L14" s="62">
        <f t="shared" si="0"/>
        <v>0</v>
      </c>
      <c r="M14" s="63" t="str">
        <f t="shared" si="1"/>
        <v>OK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50.1" customHeight="1" x14ac:dyDescent="0.25">
      <c r="A15" s="55">
        <v>3</v>
      </c>
      <c r="B15" s="56" t="s">
        <v>82</v>
      </c>
      <c r="C15" s="33">
        <v>12</v>
      </c>
      <c r="D15" s="49" t="s">
        <v>97</v>
      </c>
      <c r="E15" s="32" t="s">
        <v>51</v>
      </c>
      <c r="F15" s="37" t="s">
        <v>52</v>
      </c>
      <c r="G15" s="37" t="s">
        <v>25</v>
      </c>
      <c r="H15" s="37" t="s">
        <v>14</v>
      </c>
      <c r="I15" s="37" t="s">
        <v>15</v>
      </c>
      <c r="J15" s="50">
        <v>50.15</v>
      </c>
      <c r="K15" s="64">
        <f>596</f>
        <v>596</v>
      </c>
      <c r="L15" s="62">
        <f t="shared" si="0"/>
        <v>596</v>
      </c>
      <c r="M15" s="63" t="str">
        <f t="shared" si="1"/>
        <v>OK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65.25" customHeight="1" x14ac:dyDescent="0.25">
      <c r="A16" s="89">
        <v>4</v>
      </c>
      <c r="B16" s="90" t="s">
        <v>83</v>
      </c>
      <c r="C16" s="42">
        <v>13</v>
      </c>
      <c r="D16" s="18" t="s">
        <v>98</v>
      </c>
      <c r="E16" s="20" t="s">
        <v>53</v>
      </c>
      <c r="F16" s="48" t="s">
        <v>54</v>
      </c>
      <c r="G16" s="43" t="s">
        <v>26</v>
      </c>
      <c r="H16" s="43" t="s">
        <v>14</v>
      </c>
      <c r="I16" s="43" t="s">
        <v>15</v>
      </c>
      <c r="J16" s="47">
        <v>90</v>
      </c>
      <c r="K16" s="64">
        <f>130</f>
        <v>130</v>
      </c>
      <c r="L16" s="62">
        <f t="shared" si="0"/>
        <v>130</v>
      </c>
      <c r="M16" s="63" t="str">
        <f t="shared" si="1"/>
        <v>OK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50.1" customHeight="1" x14ac:dyDescent="0.25">
      <c r="A17" s="89"/>
      <c r="B17" s="91"/>
      <c r="C17" s="42">
        <v>14</v>
      </c>
      <c r="D17" s="18" t="s">
        <v>99</v>
      </c>
      <c r="E17" s="20" t="s">
        <v>55</v>
      </c>
      <c r="F17" s="48" t="s">
        <v>54</v>
      </c>
      <c r="G17" s="43" t="s">
        <v>26</v>
      </c>
      <c r="H17" s="43" t="s">
        <v>14</v>
      </c>
      <c r="I17" s="43" t="s">
        <v>15</v>
      </c>
      <c r="J17" s="47">
        <v>60</v>
      </c>
      <c r="K17" s="64">
        <f>0</f>
        <v>0</v>
      </c>
      <c r="L17" s="62">
        <f t="shared" si="0"/>
        <v>0</v>
      </c>
      <c r="M17" s="63" t="str">
        <f t="shared" si="1"/>
        <v>OK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4.25" customHeight="1" x14ac:dyDescent="0.25">
      <c r="A18" s="89"/>
      <c r="B18" s="91"/>
      <c r="C18" s="42">
        <v>15</v>
      </c>
      <c r="D18" s="18" t="s">
        <v>100</v>
      </c>
      <c r="E18" s="20" t="s">
        <v>56</v>
      </c>
      <c r="F18" s="48" t="s">
        <v>54</v>
      </c>
      <c r="G18" s="43" t="s">
        <v>26</v>
      </c>
      <c r="H18" s="43" t="s">
        <v>14</v>
      </c>
      <c r="I18" s="43" t="s">
        <v>15</v>
      </c>
      <c r="J18" s="47">
        <v>236</v>
      </c>
      <c r="K18" s="64">
        <f>0</f>
        <v>0</v>
      </c>
      <c r="L18" s="62">
        <f t="shared" si="0"/>
        <v>0</v>
      </c>
      <c r="M18" s="63" t="str">
        <f t="shared" si="1"/>
        <v>OK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50.1" customHeight="1" x14ac:dyDescent="0.25">
      <c r="A19" s="89"/>
      <c r="B19" s="92"/>
      <c r="C19" s="42">
        <v>16</v>
      </c>
      <c r="D19" s="18" t="s">
        <v>101</v>
      </c>
      <c r="E19" s="20" t="s">
        <v>57</v>
      </c>
      <c r="F19" s="48" t="s">
        <v>54</v>
      </c>
      <c r="G19" s="43" t="s">
        <v>26</v>
      </c>
      <c r="H19" s="43" t="s">
        <v>14</v>
      </c>
      <c r="I19" s="43" t="s">
        <v>15</v>
      </c>
      <c r="J19" s="44">
        <v>238.94</v>
      </c>
      <c r="K19" s="64">
        <f>0</f>
        <v>0</v>
      </c>
      <c r="L19" s="62">
        <f t="shared" si="0"/>
        <v>0</v>
      </c>
      <c r="M19" s="63" t="str">
        <f t="shared" si="1"/>
        <v>OK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50.1" customHeight="1" x14ac:dyDescent="0.25">
      <c r="A20" s="55">
        <v>5</v>
      </c>
      <c r="B20" s="56" t="s">
        <v>84</v>
      </c>
      <c r="C20" s="51">
        <v>17</v>
      </c>
      <c r="D20" s="27" t="s">
        <v>58</v>
      </c>
      <c r="E20" s="28" t="s">
        <v>59</v>
      </c>
      <c r="F20" s="52" t="s">
        <v>54</v>
      </c>
      <c r="G20" s="37" t="s">
        <v>60</v>
      </c>
      <c r="H20" s="37" t="s">
        <v>14</v>
      </c>
      <c r="I20" s="37" t="s">
        <v>15</v>
      </c>
      <c r="J20" s="50">
        <v>79</v>
      </c>
      <c r="K20" s="64">
        <f>0</f>
        <v>0</v>
      </c>
      <c r="L20" s="62">
        <f t="shared" si="0"/>
        <v>0</v>
      </c>
      <c r="M20" s="63" t="str">
        <f t="shared" si="1"/>
        <v>OK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50.1" customHeight="1" x14ac:dyDescent="0.25">
      <c r="A21" s="57">
        <v>6</v>
      </c>
      <c r="B21" s="58" t="s">
        <v>85</v>
      </c>
      <c r="C21" s="42">
        <v>18</v>
      </c>
      <c r="D21" s="18" t="s">
        <v>61</v>
      </c>
      <c r="E21" s="20" t="s">
        <v>62</v>
      </c>
      <c r="F21" s="48" t="s">
        <v>54</v>
      </c>
      <c r="G21" s="43" t="s">
        <v>63</v>
      </c>
      <c r="H21" s="43" t="s">
        <v>14</v>
      </c>
      <c r="I21" s="43" t="s">
        <v>15</v>
      </c>
      <c r="J21" s="44">
        <v>128.33000000000001</v>
      </c>
      <c r="K21" s="64">
        <f>0</f>
        <v>0</v>
      </c>
      <c r="L21" s="62">
        <f t="shared" si="0"/>
        <v>0</v>
      </c>
      <c r="M21" s="63" t="str">
        <f t="shared" si="1"/>
        <v>OK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50.1" customHeight="1" x14ac:dyDescent="0.25">
      <c r="A22" s="55">
        <v>8</v>
      </c>
      <c r="B22" s="56" t="s">
        <v>86</v>
      </c>
      <c r="C22" s="51">
        <v>20</v>
      </c>
      <c r="D22" s="29" t="s">
        <v>64</v>
      </c>
      <c r="E22" s="28" t="s">
        <v>65</v>
      </c>
      <c r="F22" s="28" t="s">
        <v>54</v>
      </c>
      <c r="G22" s="28" t="s">
        <v>66</v>
      </c>
      <c r="H22" s="28" t="s">
        <v>14</v>
      </c>
      <c r="I22" s="28" t="s">
        <v>15</v>
      </c>
      <c r="J22" s="50">
        <v>39.99</v>
      </c>
      <c r="K22" s="64">
        <f>0</f>
        <v>0</v>
      </c>
      <c r="L22" s="62">
        <f t="shared" si="0"/>
        <v>0</v>
      </c>
      <c r="M22" s="63" t="str">
        <f t="shared" si="1"/>
        <v>OK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50.1" customHeight="1" x14ac:dyDescent="0.25">
      <c r="A23" s="57">
        <v>9</v>
      </c>
      <c r="B23" s="58" t="s">
        <v>86</v>
      </c>
      <c r="C23" s="42">
        <v>21</v>
      </c>
      <c r="D23" s="30" t="s">
        <v>67</v>
      </c>
      <c r="E23" s="31" t="s">
        <v>68</v>
      </c>
      <c r="F23" s="31" t="s">
        <v>54</v>
      </c>
      <c r="G23" s="31" t="s">
        <v>66</v>
      </c>
      <c r="H23" s="31" t="s">
        <v>14</v>
      </c>
      <c r="I23" s="31" t="s">
        <v>15</v>
      </c>
      <c r="J23" s="44">
        <v>39.99</v>
      </c>
      <c r="K23" s="64">
        <f>0</f>
        <v>0</v>
      </c>
      <c r="L23" s="62">
        <f t="shared" si="0"/>
        <v>0</v>
      </c>
      <c r="M23" s="63" t="str">
        <f t="shared" si="1"/>
        <v>OK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50.1" customHeight="1" x14ac:dyDescent="0.25">
      <c r="A24" s="55">
        <v>10</v>
      </c>
      <c r="B24" s="56" t="s">
        <v>86</v>
      </c>
      <c r="C24" s="51">
        <v>22</v>
      </c>
      <c r="D24" s="29" t="s">
        <v>69</v>
      </c>
      <c r="E24" s="28" t="s">
        <v>70</v>
      </c>
      <c r="F24" s="28" t="s">
        <v>54</v>
      </c>
      <c r="G24" s="28" t="s">
        <v>71</v>
      </c>
      <c r="H24" s="28" t="s">
        <v>14</v>
      </c>
      <c r="I24" s="28" t="s">
        <v>15</v>
      </c>
      <c r="J24" s="50">
        <v>119.55</v>
      </c>
      <c r="K24" s="64">
        <f>0</f>
        <v>0</v>
      </c>
      <c r="L24" s="62">
        <f t="shared" si="0"/>
        <v>0</v>
      </c>
      <c r="M24" s="63" t="str">
        <f t="shared" si="1"/>
        <v>OK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50.1" customHeight="1" x14ac:dyDescent="0.25">
      <c r="A25" s="57">
        <v>11</v>
      </c>
      <c r="B25" s="58" t="s">
        <v>87</v>
      </c>
      <c r="C25" s="42">
        <v>23</v>
      </c>
      <c r="D25" s="18" t="s">
        <v>35</v>
      </c>
      <c r="E25" s="20" t="s">
        <v>72</v>
      </c>
      <c r="F25" s="48" t="s">
        <v>73</v>
      </c>
      <c r="G25" s="20" t="s">
        <v>74</v>
      </c>
      <c r="H25" s="31" t="s">
        <v>24</v>
      </c>
      <c r="I25" s="31" t="s">
        <v>75</v>
      </c>
      <c r="J25" s="44">
        <v>37.03</v>
      </c>
      <c r="K25" s="64">
        <f>0</f>
        <v>0</v>
      </c>
      <c r="L25" s="62">
        <f t="shared" si="0"/>
        <v>0</v>
      </c>
      <c r="M25" s="63" t="str">
        <f t="shared" si="1"/>
        <v>OK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05" x14ac:dyDescent="0.25">
      <c r="A26" s="55">
        <v>12</v>
      </c>
      <c r="B26" s="59" t="s">
        <v>87</v>
      </c>
      <c r="C26" s="54">
        <v>24</v>
      </c>
      <c r="D26" s="49" t="s">
        <v>76</v>
      </c>
      <c r="E26" s="32" t="s">
        <v>77</v>
      </c>
      <c r="F26" s="52" t="s">
        <v>78</v>
      </c>
      <c r="G26" s="32" t="s">
        <v>79</v>
      </c>
      <c r="H26" s="32" t="s">
        <v>24</v>
      </c>
      <c r="I26" s="32" t="s">
        <v>75</v>
      </c>
      <c r="J26" s="53">
        <v>599.78</v>
      </c>
      <c r="K26" s="64">
        <f>4</f>
        <v>4</v>
      </c>
      <c r="L26" s="62">
        <f t="shared" si="0"/>
        <v>4</v>
      </c>
      <c r="M26" s="63" t="str">
        <f t="shared" si="1"/>
        <v>OK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.75" thickBot="1" x14ac:dyDescent="0.3">
      <c r="N27" s="21">
        <f>SUMPRODUCT($J$4:$J$26,N4:N26)</f>
        <v>0</v>
      </c>
      <c r="O27" s="21">
        <f t="shared" ref="O27:AE27" si="2">SUMPRODUCT($J$4:$J$26,O4:O26)</f>
        <v>0</v>
      </c>
      <c r="P27" s="21">
        <f t="shared" si="2"/>
        <v>0</v>
      </c>
      <c r="Q27" s="21">
        <f t="shared" si="2"/>
        <v>0</v>
      </c>
      <c r="R27" s="21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si="2"/>
        <v>0</v>
      </c>
      <c r="X27" s="21">
        <f t="shared" si="2"/>
        <v>0</v>
      </c>
      <c r="Y27" s="21">
        <f t="shared" si="2"/>
        <v>0</v>
      </c>
      <c r="Z27" s="21">
        <f t="shared" si="2"/>
        <v>0</v>
      </c>
      <c r="AA27" s="21">
        <f t="shared" si="2"/>
        <v>0</v>
      </c>
      <c r="AB27" s="21">
        <f t="shared" si="2"/>
        <v>0</v>
      </c>
      <c r="AC27" s="21">
        <f t="shared" si="2"/>
        <v>0</v>
      </c>
      <c r="AD27" s="21">
        <f t="shared" si="2"/>
        <v>0</v>
      </c>
      <c r="AE27" s="21">
        <f t="shared" si="2"/>
        <v>0</v>
      </c>
    </row>
    <row r="28" spans="1:31" x14ac:dyDescent="0.25">
      <c r="D28" s="24" t="s">
        <v>43</v>
      </c>
    </row>
    <row r="29" spans="1:31" x14ac:dyDescent="0.25">
      <c r="D29" s="60" t="s">
        <v>44</v>
      </c>
    </row>
    <row r="30" spans="1:31" x14ac:dyDescent="0.25">
      <c r="D30" s="25" t="s">
        <v>106</v>
      </c>
    </row>
    <row r="31" spans="1:31" ht="15.75" thickBot="1" x14ac:dyDescent="0.3">
      <c r="D31" s="26" t="s">
        <v>105</v>
      </c>
    </row>
  </sheetData>
  <mergeCells count="28">
    <mergeCell ref="A9:A14"/>
    <mergeCell ref="B9:B14"/>
    <mergeCell ref="A16:A19"/>
    <mergeCell ref="B16:B19"/>
    <mergeCell ref="AC1:AC2"/>
    <mergeCell ref="V1:V2"/>
    <mergeCell ref="A1:C1"/>
    <mergeCell ref="D1:J1"/>
    <mergeCell ref="K1:M1"/>
    <mergeCell ref="N1:N2"/>
    <mergeCell ref="O1:O2"/>
    <mergeCell ref="P1:P2"/>
    <mergeCell ref="AD1:AD2"/>
    <mergeCell ref="AE1:AE2"/>
    <mergeCell ref="A2:M2"/>
    <mergeCell ref="A4:A8"/>
    <mergeCell ref="B4:B8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</mergeCells>
  <conditionalFormatting sqref="N4:AE26">
    <cfRule type="cellIs" dxfId="11" priority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  <cfRule type="cellIs" dxfId="8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1"/>
  <sheetViews>
    <sheetView topLeftCell="A16" zoomScale="80" zoomScaleNormal="80" workbookViewId="0">
      <selection activeCell="K27" sqref="K27"/>
    </sheetView>
  </sheetViews>
  <sheetFormatPr defaultColWidth="9.7109375" defaultRowHeight="15" x14ac:dyDescent="0.25"/>
  <cols>
    <col min="1" max="1" width="7.140625" style="1" customWidth="1"/>
    <col min="2" max="2" width="23.42578125" style="1" customWidth="1"/>
    <col min="3" max="3" width="6" style="12" bestFit="1" customWidth="1"/>
    <col min="4" max="4" width="48.42578125" style="1" customWidth="1"/>
    <col min="5" max="5" width="19" style="1" customWidth="1"/>
    <col min="6" max="6" width="9.28515625" style="1" customWidth="1"/>
    <col min="7" max="7" width="12" style="1" bestFit="1" customWidth="1"/>
    <col min="8" max="8" width="8.85546875" style="1" customWidth="1"/>
    <col min="9" max="9" width="10.140625" style="1" bestFit="1" customWidth="1"/>
    <col min="10" max="10" width="13.42578125" style="16" bestFit="1" customWidth="1"/>
    <col min="11" max="11" width="11.5703125" style="4" customWidth="1"/>
    <col min="12" max="12" width="11" style="13" customWidth="1"/>
    <col min="13" max="13" width="10.85546875" style="5" customWidth="1"/>
    <col min="14" max="14" width="13.85546875" style="4" customWidth="1"/>
    <col min="15" max="15" width="12.7109375" style="4" customWidth="1"/>
    <col min="16" max="16" width="14.85546875" style="4" customWidth="1"/>
    <col min="17" max="17" width="14.140625" style="4" customWidth="1"/>
    <col min="18" max="18" width="15.28515625" style="4" customWidth="1"/>
    <col min="19" max="19" width="15.42578125" style="4" customWidth="1"/>
    <col min="20" max="20" width="17.85546875" style="4" customWidth="1"/>
    <col min="21" max="21" width="14" style="4" customWidth="1"/>
    <col min="22" max="22" width="13.5703125" style="4" customWidth="1"/>
    <col min="23" max="23" width="14.5703125" style="4" customWidth="1"/>
    <col min="24" max="24" width="14" style="4" customWidth="1"/>
    <col min="25" max="25" width="14.28515625" style="4" customWidth="1"/>
    <col min="26" max="31" width="12.7109375" style="2" customWidth="1"/>
    <col min="32" max="16384" width="9.7109375" style="2"/>
  </cols>
  <sheetData>
    <row r="1" spans="1:31" ht="31.7" customHeight="1" x14ac:dyDescent="0.25">
      <c r="A1" s="88" t="s">
        <v>37</v>
      </c>
      <c r="B1" s="88"/>
      <c r="C1" s="88"/>
      <c r="D1" s="88" t="s">
        <v>36</v>
      </c>
      <c r="E1" s="88"/>
      <c r="F1" s="88"/>
      <c r="G1" s="88"/>
      <c r="H1" s="88"/>
      <c r="I1" s="88"/>
      <c r="J1" s="88"/>
      <c r="K1" s="88" t="s">
        <v>38</v>
      </c>
      <c r="L1" s="88"/>
      <c r="M1" s="88"/>
      <c r="N1" s="87" t="s">
        <v>39</v>
      </c>
      <c r="O1" s="87" t="s">
        <v>39</v>
      </c>
      <c r="P1" s="87" t="s">
        <v>39</v>
      </c>
      <c r="Q1" s="87" t="s">
        <v>39</v>
      </c>
      <c r="R1" s="87" t="s">
        <v>39</v>
      </c>
      <c r="S1" s="87" t="s">
        <v>39</v>
      </c>
      <c r="T1" s="87" t="s">
        <v>39</v>
      </c>
      <c r="U1" s="87" t="s">
        <v>39</v>
      </c>
      <c r="V1" s="87" t="s">
        <v>39</v>
      </c>
      <c r="W1" s="87" t="s">
        <v>39</v>
      </c>
      <c r="X1" s="87" t="s">
        <v>39</v>
      </c>
      <c r="Y1" s="87" t="s">
        <v>39</v>
      </c>
      <c r="Z1" s="87" t="s">
        <v>39</v>
      </c>
      <c r="AA1" s="87" t="s">
        <v>39</v>
      </c>
      <c r="AB1" s="87" t="s">
        <v>39</v>
      </c>
      <c r="AC1" s="87" t="s">
        <v>39</v>
      </c>
      <c r="AD1" s="87" t="s">
        <v>39</v>
      </c>
      <c r="AE1" s="87" t="s">
        <v>39</v>
      </c>
    </row>
    <row r="2" spans="1:31" ht="24" customHeight="1" x14ac:dyDescent="0.25">
      <c r="A2" s="88" t="s">
        <v>112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1:31" s="3" customFormat="1" ht="45" x14ac:dyDescent="0.2">
      <c r="A3" s="23" t="s">
        <v>40</v>
      </c>
      <c r="B3" s="23" t="s">
        <v>27</v>
      </c>
      <c r="C3" s="23" t="s">
        <v>3</v>
      </c>
      <c r="D3" s="23" t="s">
        <v>28</v>
      </c>
      <c r="E3" s="23" t="s">
        <v>29</v>
      </c>
      <c r="F3" s="23" t="s">
        <v>42</v>
      </c>
      <c r="G3" s="23" t="s">
        <v>30</v>
      </c>
      <c r="H3" s="23" t="s">
        <v>4</v>
      </c>
      <c r="I3" s="23" t="s">
        <v>31</v>
      </c>
      <c r="J3" s="23" t="s">
        <v>41</v>
      </c>
      <c r="K3" s="10" t="s">
        <v>6</v>
      </c>
      <c r="L3" s="11" t="s">
        <v>0</v>
      </c>
      <c r="M3" s="9" t="s">
        <v>2</v>
      </c>
      <c r="N3" s="9" t="s">
        <v>1</v>
      </c>
      <c r="O3" s="9" t="s">
        <v>1</v>
      </c>
      <c r="P3" s="9" t="s">
        <v>1</v>
      </c>
      <c r="Q3" s="9" t="s">
        <v>1</v>
      </c>
      <c r="R3" s="9" t="s">
        <v>1</v>
      </c>
      <c r="S3" s="9" t="s">
        <v>1</v>
      </c>
      <c r="T3" s="9" t="s">
        <v>1</v>
      </c>
      <c r="U3" s="9" t="s">
        <v>1</v>
      </c>
      <c r="V3" s="9" t="s">
        <v>1</v>
      </c>
      <c r="W3" s="9" t="s">
        <v>1</v>
      </c>
      <c r="X3" s="9" t="s">
        <v>1</v>
      </c>
      <c r="Y3" s="9" t="s">
        <v>1</v>
      </c>
      <c r="Z3" s="9" t="s">
        <v>1</v>
      </c>
      <c r="AA3" s="9" t="s">
        <v>1</v>
      </c>
      <c r="AB3" s="9" t="s">
        <v>1</v>
      </c>
      <c r="AC3" s="9" t="s">
        <v>1</v>
      </c>
      <c r="AD3" s="9" t="s">
        <v>1</v>
      </c>
      <c r="AE3" s="9" t="s">
        <v>1</v>
      </c>
    </row>
    <row r="4" spans="1:31" ht="50.1" customHeight="1" x14ac:dyDescent="0.25">
      <c r="A4" s="93">
        <v>1</v>
      </c>
      <c r="B4" s="94" t="s">
        <v>80</v>
      </c>
      <c r="C4" s="33">
        <v>1</v>
      </c>
      <c r="D4" s="34" t="s">
        <v>88</v>
      </c>
      <c r="E4" s="35" t="s">
        <v>45</v>
      </c>
      <c r="F4" s="36" t="s">
        <v>46</v>
      </c>
      <c r="G4" s="37" t="s">
        <v>17</v>
      </c>
      <c r="H4" s="36" t="s">
        <v>14</v>
      </c>
      <c r="I4" s="36" t="s">
        <v>15</v>
      </c>
      <c r="J4" s="38">
        <v>100</v>
      </c>
      <c r="K4" s="64">
        <f>5</f>
        <v>5</v>
      </c>
      <c r="L4" s="62">
        <f>K4-(SUM(N4:AE4))</f>
        <v>5</v>
      </c>
      <c r="M4" s="63" t="str">
        <f>IF(L4&lt;0,"ATENÇÃO","OK")</f>
        <v>OK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1" ht="27" customHeight="1" x14ac:dyDescent="0.25">
      <c r="A5" s="93"/>
      <c r="B5" s="95"/>
      <c r="C5" s="33">
        <v>2</v>
      </c>
      <c r="D5" s="39" t="s">
        <v>89</v>
      </c>
      <c r="E5" s="40" t="s">
        <v>47</v>
      </c>
      <c r="F5" s="41" t="s">
        <v>46</v>
      </c>
      <c r="G5" s="37" t="s">
        <v>18</v>
      </c>
      <c r="H5" s="41" t="s">
        <v>14</v>
      </c>
      <c r="I5" s="36" t="s">
        <v>15</v>
      </c>
      <c r="J5" s="38">
        <v>70.44</v>
      </c>
      <c r="K5" s="64">
        <f>10</f>
        <v>10</v>
      </c>
      <c r="L5" s="62">
        <f t="shared" ref="L5:L26" si="0">K5-(SUM(N5:AE5))</f>
        <v>10</v>
      </c>
      <c r="M5" s="63" t="str">
        <f t="shared" ref="M5:M26" si="1">IF(L5&lt;0,"ATENÇÃO","OK")</f>
        <v>OK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1" ht="50.1" customHeight="1" x14ac:dyDescent="0.25">
      <c r="A6" s="93"/>
      <c r="B6" s="95"/>
      <c r="C6" s="33">
        <v>3</v>
      </c>
      <c r="D6" s="34" t="s">
        <v>90</v>
      </c>
      <c r="E6" s="40" t="s">
        <v>47</v>
      </c>
      <c r="F6" s="36" t="s">
        <v>46</v>
      </c>
      <c r="G6" s="37" t="s">
        <v>20</v>
      </c>
      <c r="H6" s="36" t="s">
        <v>14</v>
      </c>
      <c r="I6" s="36" t="s">
        <v>15</v>
      </c>
      <c r="J6" s="38">
        <v>70.819999999999993</v>
      </c>
      <c r="K6" s="64">
        <f>30</f>
        <v>30</v>
      </c>
      <c r="L6" s="62">
        <f t="shared" si="0"/>
        <v>30</v>
      </c>
      <c r="M6" s="63" t="str">
        <f t="shared" si="1"/>
        <v>OK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50.1" customHeight="1" x14ac:dyDescent="0.25">
      <c r="A7" s="93"/>
      <c r="B7" s="95"/>
      <c r="C7" s="33">
        <v>4</v>
      </c>
      <c r="D7" s="34" t="s">
        <v>91</v>
      </c>
      <c r="E7" s="40" t="s">
        <v>47</v>
      </c>
      <c r="F7" s="36" t="s">
        <v>46</v>
      </c>
      <c r="G7" s="37" t="s">
        <v>21</v>
      </c>
      <c r="H7" s="36" t="s">
        <v>14</v>
      </c>
      <c r="I7" s="36" t="s">
        <v>15</v>
      </c>
      <c r="J7" s="38">
        <v>135.66999999999999</v>
      </c>
      <c r="K7" s="64">
        <f>40</f>
        <v>40</v>
      </c>
      <c r="L7" s="62">
        <f t="shared" si="0"/>
        <v>40</v>
      </c>
      <c r="M7" s="63" t="str">
        <f t="shared" si="1"/>
        <v>OK</v>
      </c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50.1" customHeight="1" x14ac:dyDescent="0.25">
      <c r="A8" s="93"/>
      <c r="B8" s="96"/>
      <c r="C8" s="33">
        <v>5</v>
      </c>
      <c r="D8" s="34" t="s">
        <v>92</v>
      </c>
      <c r="E8" s="40" t="s">
        <v>47</v>
      </c>
      <c r="F8" s="36" t="s">
        <v>46</v>
      </c>
      <c r="G8" s="37" t="s">
        <v>22</v>
      </c>
      <c r="H8" s="36" t="s">
        <v>14</v>
      </c>
      <c r="I8" s="36" t="s">
        <v>15</v>
      </c>
      <c r="J8" s="38">
        <v>111.99</v>
      </c>
      <c r="K8" s="64">
        <f>40</f>
        <v>40</v>
      </c>
      <c r="L8" s="62">
        <f t="shared" si="0"/>
        <v>40</v>
      </c>
      <c r="M8" s="63" t="str">
        <f t="shared" si="1"/>
        <v>OK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ht="50.1" customHeight="1" x14ac:dyDescent="0.25">
      <c r="A9" s="89">
        <v>2</v>
      </c>
      <c r="B9" s="90" t="s">
        <v>81</v>
      </c>
      <c r="C9" s="42">
        <v>6</v>
      </c>
      <c r="D9" s="18" t="s">
        <v>93</v>
      </c>
      <c r="E9" s="20" t="s">
        <v>48</v>
      </c>
      <c r="F9" s="43" t="s">
        <v>49</v>
      </c>
      <c r="G9" s="43" t="s">
        <v>19</v>
      </c>
      <c r="H9" s="43" t="s">
        <v>14</v>
      </c>
      <c r="I9" s="43" t="s">
        <v>15</v>
      </c>
      <c r="J9" s="44">
        <v>130</v>
      </c>
      <c r="K9" s="64">
        <f>700</f>
        <v>700</v>
      </c>
      <c r="L9" s="62">
        <f t="shared" si="0"/>
        <v>700</v>
      </c>
      <c r="M9" s="63" t="str">
        <f t="shared" si="1"/>
        <v>OK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50.1" customHeight="1" x14ac:dyDescent="0.25">
      <c r="A10" s="89"/>
      <c r="B10" s="91"/>
      <c r="C10" s="42">
        <v>7</v>
      </c>
      <c r="D10" s="18" t="s">
        <v>94</v>
      </c>
      <c r="E10" s="20" t="s">
        <v>48</v>
      </c>
      <c r="F10" s="43" t="s">
        <v>49</v>
      </c>
      <c r="G10" s="43" t="s">
        <v>19</v>
      </c>
      <c r="H10" s="43" t="s">
        <v>14</v>
      </c>
      <c r="I10" s="43" t="s">
        <v>15</v>
      </c>
      <c r="J10" s="44">
        <v>158</v>
      </c>
      <c r="K10" s="64">
        <f>400</f>
        <v>400</v>
      </c>
      <c r="L10" s="62">
        <f t="shared" si="0"/>
        <v>400</v>
      </c>
      <c r="M10" s="63" t="str">
        <f t="shared" si="1"/>
        <v>OK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ht="50.1" customHeight="1" x14ac:dyDescent="0.25">
      <c r="A11" s="89"/>
      <c r="B11" s="91"/>
      <c r="C11" s="42">
        <v>8</v>
      </c>
      <c r="D11" s="45" t="s">
        <v>95</v>
      </c>
      <c r="E11" s="20" t="s">
        <v>48</v>
      </c>
      <c r="F11" s="43" t="s">
        <v>49</v>
      </c>
      <c r="G11" s="43" t="s">
        <v>23</v>
      </c>
      <c r="H11" s="43" t="s">
        <v>24</v>
      </c>
      <c r="I11" s="46" t="s">
        <v>15</v>
      </c>
      <c r="J11" s="44">
        <v>380</v>
      </c>
      <c r="K11" s="64">
        <f>30</f>
        <v>30</v>
      </c>
      <c r="L11" s="62">
        <f t="shared" si="0"/>
        <v>30</v>
      </c>
      <c r="M11" s="63" t="str">
        <f t="shared" si="1"/>
        <v>OK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ht="50.1" customHeight="1" x14ac:dyDescent="0.25">
      <c r="A12" s="89"/>
      <c r="B12" s="91"/>
      <c r="C12" s="42">
        <v>9</v>
      </c>
      <c r="D12" s="45" t="s">
        <v>96</v>
      </c>
      <c r="E12" s="20" t="s">
        <v>48</v>
      </c>
      <c r="F12" s="43" t="s">
        <v>49</v>
      </c>
      <c r="G12" s="43" t="s">
        <v>23</v>
      </c>
      <c r="H12" s="43" t="s">
        <v>24</v>
      </c>
      <c r="I12" s="46" t="s">
        <v>15</v>
      </c>
      <c r="J12" s="47">
        <v>293.85000000000002</v>
      </c>
      <c r="K12" s="64">
        <f>45</f>
        <v>45</v>
      </c>
      <c r="L12" s="62">
        <f t="shared" si="0"/>
        <v>45</v>
      </c>
      <c r="M12" s="63" t="str">
        <f t="shared" si="1"/>
        <v>OK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ht="34.5" customHeight="1" x14ac:dyDescent="0.25">
      <c r="A13" s="89"/>
      <c r="B13" s="91"/>
      <c r="C13" s="42">
        <v>10</v>
      </c>
      <c r="D13" s="18" t="s">
        <v>33</v>
      </c>
      <c r="E13" s="20" t="s">
        <v>48</v>
      </c>
      <c r="F13" s="48" t="s">
        <v>50</v>
      </c>
      <c r="G13" s="43" t="s">
        <v>32</v>
      </c>
      <c r="H13" s="43" t="s">
        <v>14</v>
      </c>
      <c r="I13" s="43" t="s">
        <v>16</v>
      </c>
      <c r="J13" s="47">
        <v>24</v>
      </c>
      <c r="K13" s="64">
        <f>800</f>
        <v>800</v>
      </c>
      <c r="L13" s="62">
        <f t="shared" si="0"/>
        <v>800</v>
      </c>
      <c r="M13" s="63" t="str">
        <f t="shared" si="1"/>
        <v>OK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39.75" customHeight="1" x14ac:dyDescent="0.25">
      <c r="A14" s="89"/>
      <c r="B14" s="92"/>
      <c r="C14" s="42">
        <v>11</v>
      </c>
      <c r="D14" s="18" t="s">
        <v>34</v>
      </c>
      <c r="E14" s="20" t="s">
        <v>48</v>
      </c>
      <c r="F14" s="48" t="s">
        <v>50</v>
      </c>
      <c r="G14" s="43" t="s">
        <v>32</v>
      </c>
      <c r="H14" s="43" t="s">
        <v>14</v>
      </c>
      <c r="I14" s="43" t="s">
        <v>16</v>
      </c>
      <c r="J14" s="47">
        <v>25</v>
      </c>
      <c r="K14" s="64">
        <f>800</f>
        <v>800</v>
      </c>
      <c r="L14" s="62">
        <f t="shared" si="0"/>
        <v>800</v>
      </c>
      <c r="M14" s="63" t="str">
        <f t="shared" si="1"/>
        <v>OK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50.1" customHeight="1" x14ac:dyDescent="0.25">
      <c r="A15" s="55">
        <v>3</v>
      </c>
      <c r="B15" s="56" t="s">
        <v>82</v>
      </c>
      <c r="C15" s="33">
        <v>12</v>
      </c>
      <c r="D15" s="49" t="s">
        <v>97</v>
      </c>
      <c r="E15" s="32" t="s">
        <v>51</v>
      </c>
      <c r="F15" s="37" t="s">
        <v>52</v>
      </c>
      <c r="G15" s="37" t="s">
        <v>25</v>
      </c>
      <c r="H15" s="37" t="s">
        <v>14</v>
      </c>
      <c r="I15" s="37" t="s">
        <v>15</v>
      </c>
      <c r="J15" s="50">
        <v>50.15</v>
      </c>
      <c r="K15" s="64">
        <f>200</f>
        <v>200</v>
      </c>
      <c r="L15" s="62">
        <f t="shared" si="0"/>
        <v>200</v>
      </c>
      <c r="M15" s="63" t="str">
        <f t="shared" si="1"/>
        <v>OK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65.25" customHeight="1" x14ac:dyDescent="0.25">
      <c r="A16" s="89">
        <v>4</v>
      </c>
      <c r="B16" s="90" t="s">
        <v>83</v>
      </c>
      <c r="C16" s="42">
        <v>13</v>
      </c>
      <c r="D16" s="18" t="s">
        <v>98</v>
      </c>
      <c r="E16" s="20" t="s">
        <v>53</v>
      </c>
      <c r="F16" s="48" t="s">
        <v>54</v>
      </c>
      <c r="G16" s="43" t="s">
        <v>26</v>
      </c>
      <c r="H16" s="43" t="s">
        <v>14</v>
      </c>
      <c r="I16" s="43" t="s">
        <v>15</v>
      </c>
      <c r="J16" s="47">
        <v>90</v>
      </c>
      <c r="K16" s="64">
        <f>150</f>
        <v>150</v>
      </c>
      <c r="L16" s="62">
        <f t="shared" si="0"/>
        <v>150</v>
      </c>
      <c r="M16" s="63" t="str">
        <f t="shared" si="1"/>
        <v>OK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1" ht="50.1" customHeight="1" x14ac:dyDescent="0.25">
      <c r="A17" s="89"/>
      <c r="B17" s="91"/>
      <c r="C17" s="42">
        <v>14</v>
      </c>
      <c r="D17" s="18" t="s">
        <v>99</v>
      </c>
      <c r="E17" s="20" t="s">
        <v>55</v>
      </c>
      <c r="F17" s="48" t="s">
        <v>54</v>
      </c>
      <c r="G17" s="43" t="s">
        <v>26</v>
      </c>
      <c r="H17" s="43" t="s">
        <v>14</v>
      </c>
      <c r="I17" s="43" t="s">
        <v>15</v>
      </c>
      <c r="J17" s="47">
        <v>60</v>
      </c>
      <c r="K17" s="64">
        <f>150</f>
        <v>150</v>
      </c>
      <c r="L17" s="62">
        <f t="shared" si="0"/>
        <v>150</v>
      </c>
      <c r="M17" s="63" t="str">
        <f t="shared" si="1"/>
        <v>OK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spans="1:31" ht="14.25" customHeight="1" x14ac:dyDescent="0.25">
      <c r="A18" s="89"/>
      <c r="B18" s="91"/>
      <c r="C18" s="42">
        <v>15</v>
      </c>
      <c r="D18" s="18" t="s">
        <v>100</v>
      </c>
      <c r="E18" s="20" t="s">
        <v>56</v>
      </c>
      <c r="F18" s="48" t="s">
        <v>54</v>
      </c>
      <c r="G18" s="43" t="s">
        <v>26</v>
      </c>
      <c r="H18" s="43" t="s">
        <v>14</v>
      </c>
      <c r="I18" s="43" t="s">
        <v>15</v>
      </c>
      <c r="J18" s="47">
        <v>236</v>
      </c>
      <c r="K18" s="64">
        <f>150</f>
        <v>150</v>
      </c>
      <c r="L18" s="62">
        <f t="shared" si="0"/>
        <v>150</v>
      </c>
      <c r="M18" s="63" t="str">
        <f t="shared" si="1"/>
        <v>OK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spans="1:31" ht="50.1" customHeight="1" x14ac:dyDescent="0.25">
      <c r="A19" s="89"/>
      <c r="B19" s="92"/>
      <c r="C19" s="42">
        <v>16</v>
      </c>
      <c r="D19" s="18" t="s">
        <v>101</v>
      </c>
      <c r="E19" s="20" t="s">
        <v>57</v>
      </c>
      <c r="F19" s="48" t="s">
        <v>54</v>
      </c>
      <c r="G19" s="43" t="s">
        <v>26</v>
      </c>
      <c r="H19" s="43" t="s">
        <v>14</v>
      </c>
      <c r="I19" s="43" t="s">
        <v>15</v>
      </c>
      <c r="J19" s="44">
        <v>238.94</v>
      </c>
      <c r="K19" s="64">
        <f>200</f>
        <v>200</v>
      </c>
      <c r="L19" s="62">
        <f t="shared" si="0"/>
        <v>200</v>
      </c>
      <c r="M19" s="63" t="str">
        <f t="shared" si="1"/>
        <v>OK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spans="1:31" ht="50.1" customHeight="1" x14ac:dyDescent="0.25">
      <c r="A20" s="55">
        <v>5</v>
      </c>
      <c r="B20" s="56" t="s">
        <v>84</v>
      </c>
      <c r="C20" s="51">
        <v>17</v>
      </c>
      <c r="D20" s="27" t="s">
        <v>58</v>
      </c>
      <c r="E20" s="28" t="s">
        <v>59</v>
      </c>
      <c r="F20" s="52" t="s">
        <v>54</v>
      </c>
      <c r="G20" s="37" t="s">
        <v>60</v>
      </c>
      <c r="H20" s="37" t="s">
        <v>14</v>
      </c>
      <c r="I20" s="37" t="s">
        <v>15</v>
      </c>
      <c r="J20" s="50">
        <v>79</v>
      </c>
      <c r="K20" s="64">
        <f>0</f>
        <v>0</v>
      </c>
      <c r="L20" s="62">
        <f t="shared" si="0"/>
        <v>0</v>
      </c>
      <c r="M20" s="63" t="str">
        <f t="shared" si="1"/>
        <v>OK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1:31" ht="50.1" customHeight="1" x14ac:dyDescent="0.25">
      <c r="A21" s="57">
        <v>6</v>
      </c>
      <c r="B21" s="58" t="s">
        <v>85</v>
      </c>
      <c r="C21" s="42">
        <v>18</v>
      </c>
      <c r="D21" s="18" t="s">
        <v>61</v>
      </c>
      <c r="E21" s="20" t="s">
        <v>62</v>
      </c>
      <c r="F21" s="48" t="s">
        <v>54</v>
      </c>
      <c r="G21" s="43" t="s">
        <v>63</v>
      </c>
      <c r="H21" s="43" t="s">
        <v>14</v>
      </c>
      <c r="I21" s="43" t="s">
        <v>15</v>
      </c>
      <c r="J21" s="44">
        <v>128.33000000000001</v>
      </c>
      <c r="K21" s="64">
        <f>120</f>
        <v>120</v>
      </c>
      <c r="L21" s="62">
        <f t="shared" si="0"/>
        <v>120</v>
      </c>
      <c r="M21" s="63" t="str">
        <f t="shared" si="1"/>
        <v>OK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spans="1:31" ht="50.1" customHeight="1" x14ac:dyDescent="0.25">
      <c r="A22" s="55">
        <v>8</v>
      </c>
      <c r="B22" s="56" t="s">
        <v>86</v>
      </c>
      <c r="C22" s="51">
        <v>20</v>
      </c>
      <c r="D22" s="29" t="s">
        <v>64</v>
      </c>
      <c r="E22" s="28" t="s">
        <v>65</v>
      </c>
      <c r="F22" s="28" t="s">
        <v>54</v>
      </c>
      <c r="G22" s="28" t="s">
        <v>66</v>
      </c>
      <c r="H22" s="28" t="s">
        <v>14</v>
      </c>
      <c r="I22" s="28" t="s">
        <v>15</v>
      </c>
      <c r="J22" s="50">
        <v>39.99</v>
      </c>
      <c r="K22" s="64">
        <f>0</f>
        <v>0</v>
      </c>
      <c r="L22" s="62">
        <f t="shared" si="0"/>
        <v>0</v>
      </c>
      <c r="M22" s="63" t="str">
        <f t="shared" si="1"/>
        <v>OK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spans="1:31" ht="50.1" customHeight="1" x14ac:dyDescent="0.25">
      <c r="A23" s="57">
        <v>9</v>
      </c>
      <c r="B23" s="58" t="s">
        <v>86</v>
      </c>
      <c r="C23" s="42">
        <v>21</v>
      </c>
      <c r="D23" s="30" t="s">
        <v>67</v>
      </c>
      <c r="E23" s="31" t="s">
        <v>68</v>
      </c>
      <c r="F23" s="31" t="s">
        <v>54</v>
      </c>
      <c r="G23" s="31" t="s">
        <v>66</v>
      </c>
      <c r="H23" s="31" t="s">
        <v>14</v>
      </c>
      <c r="I23" s="31" t="s">
        <v>15</v>
      </c>
      <c r="J23" s="44">
        <v>39.99</v>
      </c>
      <c r="K23" s="64">
        <f>0</f>
        <v>0</v>
      </c>
      <c r="L23" s="62">
        <f t="shared" si="0"/>
        <v>0</v>
      </c>
      <c r="M23" s="63" t="str">
        <f t="shared" si="1"/>
        <v>OK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spans="1:31" ht="50.1" customHeight="1" x14ac:dyDescent="0.25">
      <c r="A24" s="55">
        <v>10</v>
      </c>
      <c r="B24" s="56" t="s">
        <v>86</v>
      </c>
      <c r="C24" s="51">
        <v>22</v>
      </c>
      <c r="D24" s="29" t="s">
        <v>69</v>
      </c>
      <c r="E24" s="28" t="s">
        <v>70</v>
      </c>
      <c r="F24" s="28" t="s">
        <v>54</v>
      </c>
      <c r="G24" s="28" t="s">
        <v>71</v>
      </c>
      <c r="H24" s="28" t="s">
        <v>14</v>
      </c>
      <c r="I24" s="28" t="s">
        <v>15</v>
      </c>
      <c r="J24" s="50">
        <v>119.55</v>
      </c>
      <c r="K24" s="64">
        <f>0</f>
        <v>0</v>
      </c>
      <c r="L24" s="62">
        <f t="shared" si="0"/>
        <v>0</v>
      </c>
      <c r="M24" s="63" t="str">
        <f t="shared" si="1"/>
        <v>OK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spans="1:31" ht="50.1" customHeight="1" x14ac:dyDescent="0.25">
      <c r="A25" s="57">
        <v>11</v>
      </c>
      <c r="B25" s="58" t="s">
        <v>87</v>
      </c>
      <c r="C25" s="42">
        <v>23</v>
      </c>
      <c r="D25" s="18" t="s">
        <v>35</v>
      </c>
      <c r="E25" s="20" t="s">
        <v>72</v>
      </c>
      <c r="F25" s="48" t="s">
        <v>73</v>
      </c>
      <c r="G25" s="20" t="s">
        <v>74</v>
      </c>
      <c r="H25" s="31" t="s">
        <v>24</v>
      </c>
      <c r="I25" s="31" t="s">
        <v>75</v>
      </c>
      <c r="J25" s="44">
        <v>37.03</v>
      </c>
      <c r="K25" s="64">
        <f>0</f>
        <v>0</v>
      </c>
      <c r="L25" s="62">
        <f t="shared" si="0"/>
        <v>0</v>
      </c>
      <c r="M25" s="63" t="str">
        <f t="shared" si="1"/>
        <v>OK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spans="1:31" ht="105" x14ac:dyDescent="0.25">
      <c r="A26" s="55">
        <v>12</v>
      </c>
      <c r="B26" s="59" t="s">
        <v>87</v>
      </c>
      <c r="C26" s="54">
        <v>24</v>
      </c>
      <c r="D26" s="49" t="s">
        <v>76</v>
      </c>
      <c r="E26" s="32" t="s">
        <v>77</v>
      </c>
      <c r="F26" s="52" t="s">
        <v>78</v>
      </c>
      <c r="G26" s="32" t="s">
        <v>79</v>
      </c>
      <c r="H26" s="32" t="s">
        <v>24</v>
      </c>
      <c r="I26" s="32" t="s">
        <v>75</v>
      </c>
      <c r="J26" s="53">
        <v>599.78</v>
      </c>
      <c r="K26" s="64">
        <f>2</f>
        <v>2</v>
      </c>
      <c r="L26" s="62">
        <f t="shared" si="0"/>
        <v>2</v>
      </c>
      <c r="M26" s="63" t="str">
        <f t="shared" si="1"/>
        <v>OK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spans="1:31" ht="15.75" thickBot="1" x14ac:dyDescent="0.3">
      <c r="N27" s="21">
        <f>SUMPRODUCT($J$4:$J$26,N4:N26)</f>
        <v>0</v>
      </c>
      <c r="O27" s="21">
        <f t="shared" ref="O27:AE27" si="2">SUMPRODUCT($J$4:$J$26,O4:O26)</f>
        <v>0</v>
      </c>
      <c r="P27" s="21">
        <f t="shared" si="2"/>
        <v>0</v>
      </c>
      <c r="Q27" s="21">
        <f t="shared" si="2"/>
        <v>0</v>
      </c>
      <c r="R27" s="21">
        <f t="shared" si="2"/>
        <v>0</v>
      </c>
      <c r="S27" s="21">
        <f t="shared" si="2"/>
        <v>0</v>
      </c>
      <c r="T27" s="21">
        <f t="shared" si="2"/>
        <v>0</v>
      </c>
      <c r="U27" s="21">
        <f t="shared" si="2"/>
        <v>0</v>
      </c>
      <c r="V27" s="21">
        <f t="shared" si="2"/>
        <v>0</v>
      </c>
      <c r="W27" s="21">
        <f t="shared" si="2"/>
        <v>0</v>
      </c>
      <c r="X27" s="21">
        <f t="shared" si="2"/>
        <v>0</v>
      </c>
      <c r="Y27" s="21">
        <f t="shared" si="2"/>
        <v>0</v>
      </c>
      <c r="Z27" s="21">
        <f t="shared" si="2"/>
        <v>0</v>
      </c>
      <c r="AA27" s="21">
        <f t="shared" si="2"/>
        <v>0</v>
      </c>
      <c r="AB27" s="21">
        <f t="shared" si="2"/>
        <v>0</v>
      </c>
      <c r="AC27" s="21">
        <f t="shared" si="2"/>
        <v>0</v>
      </c>
      <c r="AD27" s="21">
        <f t="shared" si="2"/>
        <v>0</v>
      </c>
      <c r="AE27" s="21">
        <f t="shared" si="2"/>
        <v>0</v>
      </c>
    </row>
    <row r="28" spans="1:31" x14ac:dyDescent="0.25">
      <c r="D28" s="24" t="s">
        <v>43</v>
      </c>
    </row>
    <row r="29" spans="1:31" x14ac:dyDescent="0.25">
      <c r="D29" s="60" t="s">
        <v>44</v>
      </c>
    </row>
    <row r="30" spans="1:31" x14ac:dyDescent="0.25">
      <c r="D30" s="25" t="s">
        <v>106</v>
      </c>
    </row>
    <row r="31" spans="1:31" ht="15.75" thickBot="1" x14ac:dyDescent="0.3">
      <c r="D31" s="26" t="s">
        <v>105</v>
      </c>
    </row>
  </sheetData>
  <mergeCells count="28">
    <mergeCell ref="A9:A14"/>
    <mergeCell ref="B9:B14"/>
    <mergeCell ref="A16:A19"/>
    <mergeCell ref="B16:B19"/>
    <mergeCell ref="AC1:AC2"/>
    <mergeCell ref="V1:V2"/>
    <mergeCell ref="A1:C1"/>
    <mergeCell ref="D1:J1"/>
    <mergeCell ref="K1:M1"/>
    <mergeCell ref="N1:N2"/>
    <mergeCell ref="O1:O2"/>
    <mergeCell ref="P1:P2"/>
    <mergeCell ref="AD1:AD2"/>
    <mergeCell ref="AE1:AE2"/>
    <mergeCell ref="A2:M2"/>
    <mergeCell ref="A4:A8"/>
    <mergeCell ref="B4:B8"/>
    <mergeCell ref="W1:W2"/>
    <mergeCell ref="X1:X2"/>
    <mergeCell ref="Y1:Y2"/>
    <mergeCell ref="Z1:Z2"/>
    <mergeCell ref="AA1:AA2"/>
    <mergeCell ref="AB1:AB2"/>
    <mergeCell ref="Q1:Q2"/>
    <mergeCell ref="R1:R2"/>
    <mergeCell ref="S1:S2"/>
    <mergeCell ref="T1:T2"/>
    <mergeCell ref="U1:U2"/>
  </mergeCells>
  <conditionalFormatting sqref="N4:AE26">
    <cfRule type="cellIs" dxfId="7" priority="1" operator="greaterThan">
      <formula>0</formula>
    </cfRule>
    <cfRule type="cellIs" dxfId="6" priority="2" stopIfTrue="1" operator="greaterThan">
      <formula>0</formula>
    </cfRule>
    <cfRule type="cellIs" dxfId="5" priority="3" stopIfTrue="1" operator="greaterThan">
      <formula>0</formula>
    </cfRule>
    <cfRule type="cellIs" dxfId="4" priority="4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REITORIA_SEMS</vt:lpstr>
      <vt:lpstr>REITORIA_MUSEU</vt:lpstr>
      <vt:lpstr>CESFI</vt:lpstr>
      <vt:lpstr>CEAD</vt:lpstr>
      <vt:lpstr>FAED</vt:lpstr>
      <vt:lpstr>CERES</vt:lpstr>
      <vt:lpstr>CEFID</vt:lpstr>
      <vt:lpstr>CEAVI</vt:lpstr>
      <vt:lpstr>ESAG</vt:lpstr>
      <vt:lpstr>CEART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ELAINE CRISTINA SUZUKI GIRARDI</cp:lastModifiedBy>
  <cp:lastPrinted>2015-07-08T21:27:45Z</cp:lastPrinted>
  <dcterms:created xsi:type="dcterms:W3CDTF">2010-06-19T20:43:11Z</dcterms:created>
  <dcterms:modified xsi:type="dcterms:W3CDTF">2024-07-03T11:01:42Z</dcterms:modified>
</cp:coreProperties>
</file>